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8\2019. I. notifikáció\"/>
    </mc:Choice>
  </mc:AlternateContent>
  <bookViews>
    <workbookView xWindow="0" yWindow="0" windowWidth="14940" windowHeight="6165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2A'!$AX$8:$AX$66</definedName>
    <definedName name="CodeRng1" localSheetId="4">'Table 2B'!$AX$8:$AX$43</definedName>
    <definedName name="CodeRng1" localSheetId="5">'Table 2C'!$AX$8:$AX$45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2A'!$D$8:$H$66</definedName>
    <definedName name="DataRng1" localSheetId="4">'Table 2B'!$D$8:$H$43</definedName>
    <definedName name="DataRng1" localSheetId="5">'Table 2C'!$D$8:$H$45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2A'!$C$1:$J$71</definedName>
    <definedName name="_xlnm.Print_Area" localSheetId="4">'Table 2B'!$C$1:$J$48</definedName>
    <definedName name="_xlnm.Print_Area" localSheetId="5">'Table 2C'!$C$1:$J$50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2A'!$A$1:$K$71</definedName>
    <definedName name="TAB2B" localSheetId="4">'Table 2B'!$B$1:$K$48</definedName>
    <definedName name="TAB2C" localSheetId="5">'Table 2C'!$B$1:$K$50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BA38" i="13" l="1"/>
  <c r="BA39" i="13"/>
  <c r="BA40" i="13"/>
  <c r="BA37" i="13" l="1"/>
  <c r="BA33" i="13"/>
  <c r="BA34" i="13"/>
  <c r="BA36" i="13"/>
  <c r="BA32" i="13"/>
  <c r="BA31" i="13"/>
  <c r="BA30" i="13"/>
  <c r="E5" i="12" l="1"/>
  <c r="N3" i="15" l="1"/>
  <c r="N3" i="2" l="1"/>
  <c r="N3" i="4"/>
  <c r="N3" i="3"/>
  <c r="N3" i="5"/>
  <c r="N3" i="6"/>
  <c r="N3" i="8"/>
  <c r="N3" i="9"/>
  <c r="N3" i="10"/>
  <c r="N3" i="11"/>
  <c r="N3" i="12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5" i="9"/>
  <c r="AX54" i="11"/>
  <c r="AX42" i="6"/>
  <c r="AX51" i="5"/>
  <c r="AX16" i="5"/>
  <c r="AX36" i="3"/>
  <c r="AX52" i="5"/>
  <c r="AX29" i="4"/>
  <c r="AX23" i="12"/>
  <c r="AX36" i="15"/>
  <c r="AX36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3" i="11"/>
  <c r="AX48" i="11"/>
  <c r="AX24" i="11"/>
  <c r="AX15" i="11"/>
  <c r="AX40" i="10"/>
  <c r="AX30" i="10"/>
  <c r="AX20" i="10"/>
  <c r="AX11" i="10"/>
  <c r="AX37" i="9"/>
  <c r="AX26" i="9"/>
  <c r="AX15" i="9"/>
  <c r="AX42" i="8"/>
  <c r="AX32" i="8"/>
  <c r="AX20" i="8"/>
  <c r="AX11" i="8"/>
  <c r="AX37" i="15"/>
  <c r="AX27" i="15"/>
  <c r="AX19" i="15"/>
  <c r="AX55" i="11"/>
  <c r="AX36" i="11"/>
  <c r="AX20" i="11"/>
  <c r="AX12" i="11"/>
  <c r="AX36" i="10"/>
  <c r="AX27" i="10"/>
  <c r="AX16" i="10"/>
  <c r="AX43" i="9"/>
  <c r="AX33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2" i="9"/>
  <c r="AX29" i="9"/>
  <c r="AX13" i="9"/>
  <c r="AX37" i="8"/>
  <c r="AX22" i="8"/>
  <c r="AX48" i="15"/>
  <c r="AX32" i="15"/>
  <c r="AX21" i="15"/>
  <c r="AX52" i="11"/>
  <c r="AX26" i="11"/>
  <c r="AX14" i="11"/>
  <c r="AX34" i="10"/>
  <c r="AX21" i="10"/>
  <c r="AX8" i="10"/>
  <c r="AX30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6" i="11"/>
  <c r="AX37" i="11"/>
  <c r="AX19" i="11"/>
  <c r="AX43" i="10"/>
  <c r="AX28" i="10"/>
  <c r="AX15" i="10"/>
  <c r="AX40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1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6" i="11"/>
  <c r="AX35" i="11"/>
  <c r="AX17" i="11"/>
  <c r="AX38" i="10"/>
  <c r="AX26" i="10"/>
  <c r="AX13" i="10"/>
  <c r="AX35" i="9"/>
  <c r="AX20" i="9"/>
  <c r="AX45" i="8"/>
  <c r="AX30" i="8"/>
  <c r="AX15" i="8"/>
  <c r="AX40" i="15"/>
  <c r="AX25" i="15"/>
  <c r="AX64" i="11"/>
  <c r="AX46" i="11"/>
  <c r="AX18" i="11"/>
  <c r="AX41" i="10"/>
  <c r="AX29" i="10"/>
  <c r="AX14" i="10"/>
  <c r="AX38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1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U36" i="16"/>
  <c r="AB36" i="16"/>
  <c r="T36" i="16"/>
  <c r="V36" i="16"/>
  <c r="S36" i="16"/>
  <c r="W36" i="16"/>
  <c r="AA41" i="16"/>
  <c r="T41" i="16"/>
  <c r="V41" i="16"/>
  <c r="S41" i="16"/>
  <c r="W41" i="16"/>
  <c r="U41" i="16"/>
  <c r="AB41" i="16"/>
  <c r="AA45" i="16"/>
  <c r="T45" i="16"/>
  <c r="V45" i="16"/>
  <c r="S45" i="16"/>
  <c r="W45" i="16"/>
  <c r="U45" i="16"/>
  <c r="AB45" i="16"/>
  <c r="AA49" i="16"/>
  <c r="U49" i="16"/>
  <c r="AB49" i="16"/>
  <c r="W49" i="16"/>
  <c r="V49" i="16"/>
  <c r="S49" i="16"/>
  <c r="T49" i="16"/>
  <c r="AA38" i="16"/>
  <c r="S38" i="16"/>
  <c r="W38" i="16"/>
  <c r="U38" i="16"/>
  <c r="V38" i="16"/>
  <c r="T38" i="16"/>
  <c r="AB38" i="16"/>
  <c r="AA46" i="16"/>
  <c r="S46" i="16"/>
  <c r="W46" i="16"/>
  <c r="U46" i="16"/>
  <c r="V46" i="16"/>
  <c r="T46" i="16"/>
  <c r="AB46" i="16"/>
  <c r="AA102" i="16"/>
  <c r="S102" i="16"/>
  <c r="W102" i="16"/>
  <c r="T102" i="16"/>
  <c r="U102" i="16"/>
  <c r="V102" i="16"/>
  <c r="AB102" i="16"/>
  <c r="AA170" i="16"/>
  <c r="S170" i="16"/>
  <c r="V170" i="16"/>
  <c r="T170" i="16"/>
  <c r="U170" i="16"/>
  <c r="AB170" i="16"/>
  <c r="AA174" i="16"/>
  <c r="S174" i="16"/>
  <c r="V174" i="16"/>
  <c r="T174" i="16"/>
  <c r="U174" i="16"/>
  <c r="AB174" i="16"/>
  <c r="AA182" i="16"/>
  <c r="S182" i="16"/>
  <c r="V182" i="16"/>
  <c r="T182" i="16"/>
  <c r="U182" i="16"/>
  <c r="AB182" i="16"/>
  <c r="AA190" i="16"/>
  <c r="S190" i="16"/>
  <c r="U190" i="16"/>
  <c r="V190" i="16"/>
  <c r="T190" i="16"/>
  <c r="AB190" i="16"/>
  <c r="AA194" i="16"/>
  <c r="S194" i="16"/>
  <c r="U194" i="16"/>
  <c r="V194" i="16"/>
  <c r="T194" i="16"/>
  <c r="AB194" i="16"/>
  <c r="AA202" i="16"/>
  <c r="S202" i="16"/>
  <c r="T202" i="16"/>
  <c r="U202" i="16"/>
  <c r="V202" i="16"/>
  <c r="AB202" i="16"/>
  <c r="AA210" i="16"/>
  <c r="S210" i="16"/>
  <c r="T210" i="16"/>
  <c r="U210" i="16"/>
  <c r="V210" i="16"/>
  <c r="AB210" i="16"/>
  <c r="AA218" i="16"/>
  <c r="AB218" i="16"/>
  <c r="AA226" i="16"/>
  <c r="S226" i="16"/>
  <c r="V226" i="16"/>
  <c r="T226" i="16"/>
  <c r="U226" i="16"/>
  <c r="AB226" i="16"/>
  <c r="AA238" i="16"/>
  <c r="S238" i="16"/>
  <c r="T238" i="16"/>
  <c r="U238" i="16"/>
  <c r="V238" i="16"/>
  <c r="AB238" i="16"/>
  <c r="AA246" i="16"/>
  <c r="S246" i="16"/>
  <c r="T246" i="16"/>
  <c r="U246" i="16"/>
  <c r="V246" i="16"/>
  <c r="AB246" i="16"/>
  <c r="AA254" i="16"/>
  <c r="S254" i="16"/>
  <c r="T254" i="16"/>
  <c r="U254" i="16"/>
  <c r="V254" i="16"/>
  <c r="AB254" i="16"/>
  <c r="AA262" i="16"/>
  <c r="S262" i="16"/>
  <c r="T262" i="16"/>
  <c r="U262" i="16"/>
  <c r="V262" i="16"/>
  <c r="AB262" i="16"/>
  <c r="AA266" i="16"/>
  <c r="S266" i="16"/>
  <c r="T266" i="16"/>
  <c r="U266" i="16"/>
  <c r="V266" i="16"/>
  <c r="AB266" i="16"/>
  <c r="AA274" i="16"/>
  <c r="S274" i="16"/>
  <c r="U274" i="16"/>
  <c r="V274" i="16"/>
  <c r="T274" i="16"/>
  <c r="AB274" i="16"/>
  <c r="AA282" i="16"/>
  <c r="S282" i="16"/>
  <c r="T282" i="16"/>
  <c r="U282" i="16"/>
  <c r="V282" i="16"/>
  <c r="AB282" i="16"/>
  <c r="AA290" i="16"/>
  <c r="V290" i="16"/>
  <c r="S290" i="16"/>
  <c r="T290" i="16"/>
  <c r="U290" i="16"/>
  <c r="AB290" i="16"/>
  <c r="AA298" i="16"/>
  <c r="V298" i="16"/>
  <c r="S298" i="16"/>
  <c r="T298" i="16"/>
  <c r="U298" i="16"/>
  <c r="AB298" i="16"/>
  <c r="AA306" i="16"/>
  <c r="S306" i="16"/>
  <c r="V306" i="16"/>
  <c r="T306" i="16"/>
  <c r="U306" i="16"/>
  <c r="AB306" i="16"/>
  <c r="V314" i="16"/>
  <c r="AA314" i="16"/>
  <c r="S314" i="16"/>
  <c r="T314" i="16"/>
  <c r="U314" i="16"/>
  <c r="AB314" i="16"/>
  <c r="V322" i="16"/>
  <c r="AA322" i="16"/>
  <c r="S322" i="16"/>
  <c r="T322" i="16"/>
  <c r="U322" i="16"/>
  <c r="AB322" i="16"/>
  <c r="V330" i="16"/>
  <c r="AA330" i="16"/>
  <c r="S330" i="16"/>
  <c r="T330" i="16"/>
  <c r="U330" i="16"/>
  <c r="AB330" i="16"/>
  <c r="AA338" i="16"/>
  <c r="V338" i="16"/>
  <c r="S338" i="16"/>
  <c r="U338" i="16"/>
  <c r="T338" i="16"/>
  <c r="AB338" i="16"/>
  <c r="AA43" i="16"/>
  <c r="V43" i="16"/>
  <c r="AB43" i="16"/>
  <c r="T43" i="16"/>
  <c r="U43" i="16"/>
  <c r="S43" i="16"/>
  <c r="W43" i="16"/>
  <c r="AA103" i="16"/>
  <c r="V103" i="16"/>
  <c r="S103" i="16"/>
  <c r="T103" i="16"/>
  <c r="U103" i="16"/>
  <c r="W103" i="16"/>
  <c r="AB103" i="16"/>
  <c r="AA167" i="16"/>
  <c r="AB167" i="16"/>
  <c r="AA171" i="16"/>
  <c r="S171" i="16"/>
  <c r="T171" i="16"/>
  <c r="U171" i="16"/>
  <c r="V171" i="16"/>
  <c r="AB171" i="16"/>
  <c r="AA175" i="16"/>
  <c r="S175" i="16"/>
  <c r="T175" i="16"/>
  <c r="U175" i="16"/>
  <c r="V175" i="16"/>
  <c r="AB175" i="16"/>
  <c r="AA179" i="16"/>
  <c r="S179" i="16"/>
  <c r="T179" i="16"/>
  <c r="U179" i="16"/>
  <c r="V179" i="16"/>
  <c r="AB179" i="16"/>
  <c r="AA183" i="16"/>
  <c r="S183" i="16"/>
  <c r="T183" i="16"/>
  <c r="U183" i="16"/>
  <c r="V183" i="16"/>
  <c r="AB183" i="16"/>
  <c r="AA187" i="16"/>
  <c r="S187" i="16"/>
  <c r="V187" i="16"/>
  <c r="T187" i="16"/>
  <c r="U187" i="16"/>
  <c r="AB187" i="16"/>
  <c r="AA191" i="16"/>
  <c r="S191" i="16"/>
  <c r="V191" i="16"/>
  <c r="T191" i="16"/>
  <c r="U191" i="16"/>
  <c r="AB191" i="16"/>
  <c r="AA195" i="16"/>
  <c r="S195" i="16"/>
  <c r="V195" i="16"/>
  <c r="T195" i="16"/>
  <c r="U195" i="16"/>
  <c r="AB195" i="16"/>
  <c r="AA199" i="16"/>
  <c r="T199" i="16"/>
  <c r="U199" i="16"/>
  <c r="V199" i="16"/>
  <c r="S199" i="16"/>
  <c r="AB199" i="16"/>
  <c r="AA203" i="16"/>
  <c r="S203" i="16"/>
  <c r="T203" i="16"/>
  <c r="U203" i="16"/>
  <c r="V203" i="16"/>
  <c r="AB203" i="16"/>
  <c r="AA207" i="16"/>
  <c r="S207" i="16"/>
  <c r="T207" i="16"/>
  <c r="U207" i="16"/>
  <c r="V207" i="16"/>
  <c r="AB207" i="16"/>
  <c r="AA211" i="16"/>
  <c r="S211" i="16"/>
  <c r="T211" i="16"/>
  <c r="U211" i="16"/>
  <c r="V211" i="16"/>
  <c r="AB211" i="16"/>
  <c r="AA215" i="16"/>
  <c r="S215" i="16"/>
  <c r="T215" i="16"/>
  <c r="U215" i="16"/>
  <c r="V215" i="16"/>
  <c r="AB215" i="16"/>
  <c r="AA219" i="16"/>
  <c r="S219" i="16"/>
  <c r="T219" i="16"/>
  <c r="U219" i="16"/>
  <c r="V219" i="16"/>
  <c r="AB219" i="16"/>
  <c r="AA223" i="16"/>
  <c r="S223" i="16"/>
  <c r="T223" i="16"/>
  <c r="U223" i="16"/>
  <c r="V223" i="16"/>
  <c r="AB223" i="16"/>
  <c r="AA227" i="16"/>
  <c r="S227" i="16"/>
  <c r="T227" i="16"/>
  <c r="U227" i="16"/>
  <c r="V227" i="16"/>
  <c r="AB227" i="16"/>
  <c r="AA231" i="16"/>
  <c r="S231" i="16"/>
  <c r="T231" i="16"/>
  <c r="U231" i="16"/>
  <c r="V231" i="16"/>
  <c r="AB231" i="16"/>
  <c r="AA235" i="16"/>
  <c r="T235" i="16"/>
  <c r="V235" i="16"/>
  <c r="S235" i="16"/>
  <c r="U235" i="16"/>
  <c r="AB235" i="16"/>
  <c r="AA239" i="16"/>
  <c r="S239" i="16"/>
  <c r="U239" i="16"/>
  <c r="V239" i="16"/>
  <c r="T239" i="16"/>
  <c r="AB239" i="16"/>
  <c r="AA243" i="16"/>
  <c r="S243" i="16"/>
  <c r="U243" i="16"/>
  <c r="V243" i="16"/>
  <c r="T243" i="16"/>
  <c r="AB243" i="16"/>
  <c r="AA247" i="16"/>
  <c r="S247" i="16"/>
  <c r="U247" i="16"/>
  <c r="V247" i="16"/>
  <c r="T247" i="16"/>
  <c r="AB247" i="16"/>
  <c r="AA251" i="16"/>
  <c r="S251" i="16"/>
  <c r="U251" i="16"/>
  <c r="V251" i="16"/>
  <c r="T251" i="16"/>
  <c r="AB251" i="16"/>
  <c r="AA255" i="16"/>
  <c r="S255" i="16"/>
  <c r="U255" i="16"/>
  <c r="V255" i="16"/>
  <c r="T255" i="16"/>
  <c r="AB255" i="16"/>
  <c r="AA259" i="16"/>
  <c r="S259" i="16"/>
  <c r="U259" i="16"/>
  <c r="V259" i="16"/>
  <c r="T259" i="16"/>
  <c r="AB259" i="16"/>
  <c r="AA263" i="16"/>
  <c r="S263" i="16"/>
  <c r="U263" i="16"/>
  <c r="V263" i="16"/>
  <c r="T263" i="16"/>
  <c r="AB263" i="16"/>
  <c r="AA267" i="16"/>
  <c r="S267" i="16"/>
  <c r="U267" i="16"/>
  <c r="V267" i="16"/>
  <c r="T267" i="16"/>
  <c r="AB267" i="16"/>
  <c r="AA271" i="16"/>
  <c r="T271" i="16"/>
  <c r="V271" i="16"/>
  <c r="S271" i="16"/>
  <c r="U271" i="16"/>
  <c r="AB271" i="16"/>
  <c r="AA275" i="16"/>
  <c r="S275" i="16"/>
  <c r="V275" i="16"/>
  <c r="T275" i="16"/>
  <c r="U275" i="16"/>
  <c r="AB275" i="16"/>
  <c r="AA279" i="16"/>
  <c r="S279" i="16"/>
  <c r="T279" i="16"/>
  <c r="U279" i="16"/>
  <c r="V279" i="16"/>
  <c r="AB279" i="16"/>
  <c r="AA283" i="16"/>
  <c r="S283" i="16"/>
  <c r="T283" i="16"/>
  <c r="U283" i="16"/>
  <c r="V283" i="16"/>
  <c r="AB283" i="16"/>
  <c r="AA287" i="16"/>
  <c r="V287" i="16"/>
  <c r="S287" i="16"/>
  <c r="T287" i="16"/>
  <c r="U287" i="16"/>
  <c r="AB287" i="16"/>
  <c r="AA291" i="16"/>
  <c r="V291" i="16"/>
  <c r="S291" i="16"/>
  <c r="T291" i="16"/>
  <c r="U291" i="16"/>
  <c r="AB291" i="16"/>
  <c r="AA295" i="16"/>
  <c r="V295" i="16"/>
  <c r="S295" i="16"/>
  <c r="T295" i="16"/>
  <c r="U295" i="16"/>
  <c r="AB295" i="16"/>
  <c r="AA299" i="16"/>
  <c r="V299" i="16"/>
  <c r="S299" i="16"/>
  <c r="T299" i="16"/>
  <c r="U299" i="16"/>
  <c r="AB299" i="16"/>
  <c r="AA303" i="16"/>
  <c r="S303" i="16"/>
  <c r="T303" i="16"/>
  <c r="U303" i="16"/>
  <c r="V303" i="16"/>
  <c r="AB303" i="16"/>
  <c r="AA307" i="16"/>
  <c r="S307" i="16"/>
  <c r="T307" i="16"/>
  <c r="U307" i="16"/>
  <c r="V307" i="16"/>
  <c r="AB307" i="16"/>
  <c r="AA311" i="16"/>
  <c r="V311" i="16"/>
  <c r="S311" i="16"/>
  <c r="T311" i="16"/>
  <c r="U311" i="16"/>
  <c r="AB311" i="16"/>
  <c r="AA315" i="16"/>
  <c r="V315" i="16"/>
  <c r="S315" i="16"/>
  <c r="T315" i="16"/>
  <c r="U315" i="16"/>
  <c r="AB315" i="16"/>
  <c r="AA319" i="16"/>
  <c r="V319" i="16"/>
  <c r="S319" i="16"/>
  <c r="T319" i="16"/>
  <c r="U319" i="16"/>
  <c r="AB319" i="16"/>
  <c r="AA323" i="16"/>
  <c r="V323" i="16"/>
  <c r="S323" i="16"/>
  <c r="T323" i="16"/>
  <c r="U323" i="16"/>
  <c r="AB323" i="16"/>
  <c r="AA327" i="16"/>
  <c r="V327" i="16"/>
  <c r="S327" i="16"/>
  <c r="T327" i="16"/>
  <c r="U327" i="16"/>
  <c r="AB327" i="16"/>
  <c r="AA331" i="16"/>
  <c r="V331" i="16"/>
  <c r="S331" i="16"/>
  <c r="T331" i="16"/>
  <c r="U331" i="16"/>
  <c r="AB331" i="16"/>
  <c r="AA335" i="16"/>
  <c r="V335" i="16"/>
  <c r="S335" i="16"/>
  <c r="T335" i="16"/>
  <c r="U335" i="16"/>
  <c r="AB335" i="16"/>
  <c r="AA339" i="16"/>
  <c r="V339" i="16"/>
  <c r="S339" i="16"/>
  <c r="T339" i="16"/>
  <c r="U339" i="16"/>
  <c r="AB339" i="16"/>
  <c r="AA343" i="16"/>
  <c r="S343" i="16"/>
  <c r="W343" i="16"/>
  <c r="T343" i="16"/>
  <c r="U343" i="16"/>
  <c r="V343" i="16"/>
  <c r="AB343" i="16"/>
  <c r="AA73" i="16"/>
  <c r="V73" i="16"/>
  <c r="T73" i="16"/>
  <c r="U73" i="16"/>
  <c r="W73" i="16"/>
  <c r="S73" i="16"/>
  <c r="AB73" i="16"/>
  <c r="AA81" i="16"/>
  <c r="T81" i="16"/>
  <c r="U81" i="16"/>
  <c r="V81" i="16"/>
  <c r="W81" i="16"/>
  <c r="S81" i="16"/>
  <c r="AB81" i="16"/>
  <c r="AA42" i="16"/>
  <c r="S42" i="16"/>
  <c r="W42" i="16"/>
  <c r="U42" i="16"/>
  <c r="AB42" i="16"/>
  <c r="V42" i="16"/>
  <c r="T42" i="16"/>
  <c r="U74" i="16"/>
  <c r="T74" i="16"/>
  <c r="V74" i="16"/>
  <c r="AA74" i="16"/>
  <c r="W74" i="16"/>
  <c r="S74" i="16"/>
  <c r="AB74" i="16"/>
  <c r="AA166" i="16"/>
  <c r="T166" i="16"/>
  <c r="S166" i="16"/>
  <c r="U166" i="16"/>
  <c r="V166" i="16"/>
  <c r="AB166" i="16"/>
  <c r="AA178" i="16"/>
  <c r="S178" i="16"/>
  <c r="V178" i="16"/>
  <c r="T178" i="16"/>
  <c r="U178" i="16"/>
  <c r="AB178" i="16"/>
  <c r="AA186" i="16"/>
  <c r="S186" i="16"/>
  <c r="U186" i="16"/>
  <c r="V186" i="16"/>
  <c r="T186" i="16"/>
  <c r="AB186" i="16"/>
  <c r="AA198" i="16"/>
  <c r="S198" i="16"/>
  <c r="U198" i="16"/>
  <c r="V198" i="16"/>
  <c r="T198" i="16"/>
  <c r="AB198" i="16"/>
  <c r="AA206" i="16"/>
  <c r="S206" i="16"/>
  <c r="T206" i="16"/>
  <c r="U206" i="16"/>
  <c r="V206" i="16"/>
  <c r="AB206" i="16"/>
  <c r="AA214" i="16"/>
  <c r="S214" i="16"/>
  <c r="T214" i="16"/>
  <c r="U214" i="16"/>
  <c r="V214" i="16"/>
  <c r="AB214" i="16"/>
  <c r="AA222" i="16"/>
  <c r="S222" i="16"/>
  <c r="V222" i="16"/>
  <c r="T222" i="16"/>
  <c r="U222" i="16"/>
  <c r="AB222" i="16"/>
  <c r="AA230" i="16"/>
  <c r="S230" i="16"/>
  <c r="V230" i="16"/>
  <c r="T230" i="16"/>
  <c r="U230" i="16"/>
  <c r="AB230" i="16"/>
  <c r="AA234" i="16"/>
  <c r="S234" i="16"/>
  <c r="V234" i="16"/>
  <c r="T234" i="16"/>
  <c r="U234" i="16"/>
  <c r="AB234" i="16"/>
  <c r="AA242" i="16"/>
  <c r="S242" i="16"/>
  <c r="T242" i="16"/>
  <c r="U242" i="16"/>
  <c r="V242" i="16"/>
  <c r="AB242" i="16"/>
  <c r="AA250" i="16"/>
  <c r="S250" i="16"/>
  <c r="T250" i="16"/>
  <c r="U250" i="16"/>
  <c r="V250" i="16"/>
  <c r="AB250" i="16"/>
  <c r="AA258" i="16"/>
  <c r="S258" i="16"/>
  <c r="T258" i="16"/>
  <c r="U258" i="16"/>
  <c r="V258" i="16"/>
  <c r="AB258" i="16"/>
  <c r="AA270" i="16"/>
  <c r="S270" i="16"/>
  <c r="T270" i="16"/>
  <c r="U270" i="16"/>
  <c r="V270" i="16"/>
  <c r="AB270" i="16"/>
  <c r="AA278" i="16"/>
  <c r="S278" i="16"/>
  <c r="T278" i="16"/>
  <c r="U278" i="16"/>
  <c r="V278" i="16"/>
  <c r="AB278" i="16"/>
  <c r="AA286" i="16"/>
  <c r="V286" i="16"/>
  <c r="S286" i="16"/>
  <c r="U286" i="16"/>
  <c r="T286" i="16"/>
  <c r="AB286" i="16"/>
  <c r="AA294" i="16"/>
  <c r="V294" i="16"/>
  <c r="S294" i="16"/>
  <c r="U294" i="16"/>
  <c r="T294" i="16"/>
  <c r="AB294" i="16"/>
  <c r="AA302" i="16"/>
  <c r="S302" i="16"/>
  <c r="V302" i="16"/>
  <c r="U302" i="16"/>
  <c r="T302" i="16"/>
  <c r="AB302" i="16"/>
  <c r="V310" i="16"/>
  <c r="AA310" i="16"/>
  <c r="S310" i="16"/>
  <c r="T310" i="16"/>
  <c r="U310" i="16"/>
  <c r="AB310" i="16"/>
  <c r="V318" i="16"/>
  <c r="AA318" i="16"/>
  <c r="S318" i="16"/>
  <c r="T318" i="16"/>
  <c r="U318" i="16"/>
  <c r="AB318" i="16"/>
  <c r="V326" i="16"/>
  <c r="AA326" i="16"/>
  <c r="S326" i="16"/>
  <c r="T326" i="16"/>
  <c r="U326" i="16"/>
  <c r="AB326" i="16"/>
  <c r="V334" i="16"/>
  <c r="AA334" i="16"/>
  <c r="S334" i="16"/>
  <c r="T334" i="16"/>
  <c r="U334" i="16"/>
  <c r="AB334" i="16"/>
  <c r="AA342" i="16"/>
  <c r="V342" i="16"/>
  <c r="S342" i="16"/>
  <c r="T342" i="16"/>
  <c r="U342" i="16"/>
  <c r="AB342" i="16"/>
  <c r="AA39" i="16"/>
  <c r="V39" i="16"/>
  <c r="AB39" i="16"/>
  <c r="T39" i="16"/>
  <c r="U39" i="16"/>
  <c r="S39" i="16"/>
  <c r="W39" i="16"/>
  <c r="AA40" i="16"/>
  <c r="U40" i="16"/>
  <c r="AB40" i="16"/>
  <c r="S40" i="16"/>
  <c r="W40" i="16"/>
  <c r="T40" i="16"/>
  <c r="V40" i="16"/>
  <c r="AA44" i="16"/>
  <c r="U44" i="16"/>
  <c r="AB44" i="16"/>
  <c r="S44" i="16"/>
  <c r="W44" i="16"/>
  <c r="T44" i="16"/>
  <c r="V44" i="16"/>
  <c r="AA48" i="16"/>
  <c r="V48" i="16"/>
  <c r="AB48" i="16"/>
  <c r="T48" i="16"/>
  <c r="U48" i="16"/>
  <c r="S48" i="16"/>
  <c r="W48" i="16"/>
  <c r="AA72" i="16"/>
  <c r="S72" i="16"/>
  <c r="W72" i="16"/>
  <c r="T72" i="16"/>
  <c r="U72" i="16"/>
  <c r="V72" i="16"/>
  <c r="AB72" i="16"/>
  <c r="AA104" i="16"/>
  <c r="U104" i="16"/>
  <c r="S104" i="16"/>
  <c r="T104" i="16"/>
  <c r="V104" i="16"/>
  <c r="W104" i="16"/>
  <c r="AB104" i="16"/>
  <c r="AA168" i="16"/>
  <c r="S168" i="16"/>
  <c r="T168" i="16"/>
  <c r="U168" i="16"/>
  <c r="V168" i="16"/>
  <c r="AB168" i="16"/>
  <c r="AA172" i="16"/>
  <c r="S172" i="16"/>
  <c r="T172" i="16"/>
  <c r="U172" i="16"/>
  <c r="V172" i="16"/>
  <c r="AB172" i="16"/>
  <c r="S176" i="16"/>
  <c r="AA176" i="16"/>
  <c r="T176" i="16"/>
  <c r="U176" i="16"/>
  <c r="V176" i="16"/>
  <c r="AB176" i="16"/>
  <c r="AA180" i="16"/>
  <c r="S180" i="16"/>
  <c r="T180" i="16"/>
  <c r="U180" i="16"/>
  <c r="V180" i="16"/>
  <c r="AB180" i="16"/>
  <c r="AA184" i="16"/>
  <c r="S184" i="16"/>
  <c r="T184" i="16"/>
  <c r="U184" i="16"/>
  <c r="V184" i="16"/>
  <c r="AB184" i="16"/>
  <c r="AA188" i="16"/>
  <c r="S188" i="16"/>
  <c r="T188" i="16"/>
  <c r="U188" i="16"/>
  <c r="V188" i="16"/>
  <c r="AB188" i="16"/>
  <c r="S192" i="16"/>
  <c r="T192" i="16"/>
  <c r="AA192" i="16"/>
  <c r="U192" i="16"/>
  <c r="V192" i="16"/>
  <c r="AB192" i="16"/>
  <c r="AA196" i="16"/>
  <c r="S196" i="16"/>
  <c r="T196" i="16"/>
  <c r="U196" i="16"/>
  <c r="V196" i="16"/>
  <c r="AB196" i="16"/>
  <c r="AA200" i="16"/>
  <c r="AB200" i="16"/>
  <c r="AA204" i="16"/>
  <c r="S204" i="16"/>
  <c r="U204" i="16"/>
  <c r="V204" i="16"/>
  <c r="T204" i="16"/>
  <c r="AB204" i="16"/>
  <c r="S208" i="16"/>
  <c r="AA208" i="16"/>
  <c r="U208" i="16"/>
  <c r="V208" i="16"/>
  <c r="T208" i="16"/>
  <c r="AB208" i="16"/>
  <c r="AA212" i="16"/>
  <c r="S212" i="16"/>
  <c r="U212" i="16"/>
  <c r="V212" i="16"/>
  <c r="T212" i="16"/>
  <c r="AB212" i="16"/>
  <c r="AA216" i="16"/>
  <c r="S216" i="16"/>
  <c r="U216" i="16"/>
  <c r="V216" i="16"/>
  <c r="T216" i="16"/>
  <c r="AB216" i="16"/>
  <c r="AA220" i="16"/>
  <c r="S220" i="16"/>
  <c r="T220" i="16"/>
  <c r="U220" i="16"/>
  <c r="V220" i="16"/>
  <c r="AB220" i="16"/>
  <c r="S224" i="16"/>
  <c r="T224" i="16"/>
  <c r="U224" i="16"/>
  <c r="AA224" i="16"/>
  <c r="V224" i="16"/>
  <c r="AB224" i="16"/>
  <c r="AA228" i="16"/>
  <c r="S228" i="16"/>
  <c r="T228" i="16"/>
  <c r="U228" i="16"/>
  <c r="V228" i="16"/>
  <c r="AB228" i="16"/>
  <c r="AA232" i="16"/>
  <c r="S232" i="16"/>
  <c r="T232" i="16"/>
  <c r="U232" i="16"/>
  <c r="V232" i="16"/>
  <c r="AB232" i="16"/>
  <c r="AA236" i="16"/>
  <c r="S236" i="16"/>
  <c r="V236" i="16"/>
  <c r="T236" i="16"/>
  <c r="U236" i="16"/>
  <c r="AB236" i="16"/>
  <c r="S240" i="16"/>
  <c r="AA240" i="16"/>
  <c r="V240" i="16"/>
  <c r="T240" i="16"/>
  <c r="U240" i="16"/>
  <c r="AB240" i="16"/>
  <c r="AA244" i="16"/>
  <c r="S244" i="16"/>
  <c r="V244" i="16"/>
  <c r="T244" i="16"/>
  <c r="U244" i="16"/>
  <c r="AB244" i="16"/>
  <c r="AA248" i="16"/>
  <c r="S248" i="16"/>
  <c r="V248" i="16"/>
  <c r="T248" i="16"/>
  <c r="U248" i="16"/>
  <c r="AB248" i="16"/>
  <c r="AA252" i="16"/>
  <c r="S252" i="16"/>
  <c r="V252" i="16"/>
  <c r="T252" i="16"/>
  <c r="U252" i="16"/>
  <c r="AB252" i="16"/>
  <c r="S256" i="16"/>
  <c r="V256" i="16"/>
  <c r="AA256" i="16"/>
  <c r="T256" i="16"/>
  <c r="U256" i="16"/>
  <c r="AB256" i="16"/>
  <c r="AA260" i="16"/>
  <c r="S260" i="16"/>
  <c r="V260" i="16"/>
  <c r="T260" i="16"/>
  <c r="U260" i="16"/>
  <c r="AB260" i="16"/>
  <c r="AA264" i="16"/>
  <c r="S264" i="16"/>
  <c r="V264" i="16"/>
  <c r="T264" i="16"/>
  <c r="U264" i="16"/>
  <c r="AB264" i="16"/>
  <c r="AA268" i="16"/>
  <c r="S268" i="16"/>
  <c r="V268" i="16"/>
  <c r="T268" i="16"/>
  <c r="U268" i="16"/>
  <c r="AB268" i="16"/>
  <c r="S272" i="16"/>
  <c r="V272" i="16"/>
  <c r="AA272" i="16"/>
  <c r="T272" i="16"/>
  <c r="U272" i="16"/>
  <c r="AB272" i="16"/>
  <c r="AA276" i="16"/>
  <c r="S276" i="16"/>
  <c r="U276" i="16"/>
  <c r="V276" i="16"/>
  <c r="T276" i="16"/>
  <c r="AB276" i="16"/>
  <c r="AA280" i="16"/>
  <c r="S280" i="16"/>
  <c r="U280" i="16"/>
  <c r="V280" i="16"/>
  <c r="T280" i="16"/>
  <c r="AB280" i="16"/>
  <c r="AA284" i="16"/>
  <c r="V284" i="16"/>
  <c r="S284" i="16"/>
  <c r="T284" i="16"/>
  <c r="U284" i="16"/>
  <c r="AB284" i="16"/>
  <c r="V288" i="16"/>
  <c r="S288" i="16"/>
  <c r="AA288" i="16"/>
  <c r="T288" i="16"/>
  <c r="U288" i="16"/>
  <c r="AB288" i="16"/>
  <c r="AA292" i="16"/>
  <c r="V292" i="16"/>
  <c r="S292" i="16"/>
  <c r="T292" i="16"/>
  <c r="U292" i="16"/>
  <c r="AB292" i="16"/>
  <c r="V296" i="16"/>
  <c r="S296" i="16"/>
  <c r="AA296" i="16"/>
  <c r="T296" i="16"/>
  <c r="U296" i="16"/>
  <c r="AB296" i="16"/>
  <c r="AA300" i="16"/>
  <c r="V300" i="16"/>
  <c r="S300" i="16"/>
  <c r="T300" i="16"/>
  <c r="U300" i="16"/>
  <c r="AB300" i="16"/>
  <c r="S304" i="16"/>
  <c r="T304" i="16"/>
  <c r="U304" i="16"/>
  <c r="V304" i="16"/>
  <c r="AA304" i="16"/>
  <c r="AB304" i="16"/>
  <c r="V308" i="16"/>
  <c r="AA308" i="16"/>
  <c r="T308" i="16"/>
  <c r="U308" i="16"/>
  <c r="S308" i="16"/>
  <c r="AB308" i="16"/>
  <c r="V312" i="16"/>
  <c r="T312" i="16"/>
  <c r="U312" i="16"/>
  <c r="AA312" i="16"/>
  <c r="S312" i="16"/>
  <c r="AB312" i="16"/>
  <c r="V316" i="16"/>
  <c r="AA316" i="16"/>
  <c r="T316" i="16"/>
  <c r="U316" i="16"/>
  <c r="S316" i="16"/>
  <c r="AB316" i="16"/>
  <c r="V320" i="16"/>
  <c r="T320" i="16"/>
  <c r="U320" i="16"/>
  <c r="AA320" i="16"/>
  <c r="S320" i="16"/>
  <c r="AB320" i="16"/>
  <c r="V324" i="16"/>
  <c r="AA324" i="16"/>
  <c r="T324" i="16"/>
  <c r="U324" i="16"/>
  <c r="S324" i="16"/>
  <c r="AB324" i="16"/>
  <c r="V328" i="16"/>
  <c r="T328" i="16"/>
  <c r="U328" i="16"/>
  <c r="AA328" i="16"/>
  <c r="S328" i="16"/>
  <c r="AB328" i="16"/>
  <c r="V332" i="16"/>
  <c r="AA332" i="16"/>
  <c r="T332" i="16"/>
  <c r="U332" i="16"/>
  <c r="S332" i="16"/>
  <c r="AB332" i="16"/>
  <c r="V336" i="16"/>
  <c r="T336" i="16"/>
  <c r="U336" i="16"/>
  <c r="AA336" i="16"/>
  <c r="S336" i="16"/>
  <c r="AB336" i="16"/>
  <c r="AA340" i="16"/>
  <c r="V340" i="16"/>
  <c r="S340" i="16"/>
  <c r="T340" i="16"/>
  <c r="U340" i="16"/>
  <c r="AB340" i="16"/>
  <c r="V344" i="16"/>
  <c r="U344" i="16"/>
  <c r="W344" i="16"/>
  <c r="AA344" i="16"/>
  <c r="S344" i="16"/>
  <c r="T344" i="16"/>
  <c r="AB344" i="16"/>
  <c r="T109" i="16"/>
  <c r="S109" i="16"/>
  <c r="AA109" i="16"/>
  <c r="U109" i="16"/>
  <c r="V109" i="16"/>
  <c r="W109" i="16"/>
  <c r="AB109" i="16"/>
  <c r="AA169" i="16"/>
  <c r="S169" i="16"/>
  <c r="U169" i="16"/>
  <c r="V169" i="16"/>
  <c r="T169" i="16"/>
  <c r="AB169" i="16"/>
  <c r="AA173" i="16"/>
  <c r="S173" i="16"/>
  <c r="U173" i="16"/>
  <c r="V173" i="16"/>
  <c r="T173" i="16"/>
  <c r="AB173" i="16"/>
  <c r="AA177" i="16"/>
  <c r="S177" i="16"/>
  <c r="U177" i="16"/>
  <c r="V177" i="16"/>
  <c r="T177" i="16"/>
  <c r="AB177" i="16"/>
  <c r="S181" i="16"/>
  <c r="U181" i="16"/>
  <c r="V181" i="16"/>
  <c r="AA181" i="16"/>
  <c r="T181" i="16"/>
  <c r="AB181" i="16"/>
  <c r="AA185" i="16"/>
  <c r="AB185" i="16"/>
  <c r="AA189" i="16"/>
  <c r="S189" i="16"/>
  <c r="T189" i="16"/>
  <c r="U189" i="16"/>
  <c r="V189" i="16"/>
  <c r="AB189" i="16"/>
  <c r="AA193" i="16"/>
  <c r="S193" i="16"/>
  <c r="T193" i="16"/>
  <c r="U193" i="16"/>
  <c r="V193" i="16"/>
  <c r="AB193" i="16"/>
  <c r="S197" i="16"/>
  <c r="T197" i="16"/>
  <c r="AA197" i="16"/>
  <c r="U197" i="16"/>
  <c r="V197" i="16"/>
  <c r="AB197" i="16"/>
  <c r="AA201" i="16"/>
  <c r="S201" i="16"/>
  <c r="V201" i="16"/>
  <c r="T201" i="16"/>
  <c r="U201" i="16"/>
  <c r="AB201" i="16"/>
  <c r="AA205" i="16"/>
  <c r="S205" i="16"/>
  <c r="V205" i="16"/>
  <c r="T205" i="16"/>
  <c r="U205" i="16"/>
  <c r="AB205" i="16"/>
  <c r="AA209" i="16"/>
  <c r="S209" i="16"/>
  <c r="V209" i="16"/>
  <c r="T209" i="16"/>
  <c r="U209" i="16"/>
  <c r="AB209" i="16"/>
  <c r="S213" i="16"/>
  <c r="V213" i="16"/>
  <c r="T213" i="16"/>
  <c r="AA213" i="16"/>
  <c r="U213" i="16"/>
  <c r="AB213" i="16"/>
  <c r="AA217" i="16"/>
  <c r="S217" i="16"/>
  <c r="V217" i="16"/>
  <c r="T217" i="16"/>
  <c r="U217" i="16"/>
  <c r="AB217" i="16"/>
  <c r="AA221" i="16"/>
  <c r="S221" i="16"/>
  <c r="U221" i="16"/>
  <c r="V221" i="16"/>
  <c r="T221" i="16"/>
  <c r="AB221" i="16"/>
  <c r="AA225" i="16"/>
  <c r="S225" i="16"/>
  <c r="U225" i="16"/>
  <c r="V225" i="16"/>
  <c r="T225" i="16"/>
  <c r="AB225" i="16"/>
  <c r="S229" i="16"/>
  <c r="U229" i="16"/>
  <c r="AA229" i="16"/>
  <c r="V229" i="16"/>
  <c r="T229" i="16"/>
  <c r="AB229" i="16"/>
  <c r="AA233" i="16"/>
  <c r="S233" i="16"/>
  <c r="U233" i="16"/>
  <c r="V233" i="16"/>
  <c r="T233" i="16"/>
  <c r="AB233" i="16"/>
  <c r="AA237" i="16"/>
  <c r="S237" i="16"/>
  <c r="T237" i="16"/>
  <c r="U237" i="16"/>
  <c r="V237" i="16"/>
  <c r="AB237" i="16"/>
  <c r="AA241" i="16"/>
  <c r="S241" i="16"/>
  <c r="T241" i="16"/>
  <c r="U241" i="16"/>
  <c r="V241" i="16"/>
  <c r="AB241" i="16"/>
  <c r="S245" i="16"/>
  <c r="T245" i="16"/>
  <c r="U245" i="16"/>
  <c r="AA245" i="16"/>
  <c r="V245" i="16"/>
  <c r="AB245" i="16"/>
  <c r="AA249" i="16"/>
  <c r="S249" i="16"/>
  <c r="T249" i="16"/>
  <c r="U249" i="16"/>
  <c r="V249" i="16"/>
  <c r="AB249" i="16"/>
  <c r="AA253" i="16"/>
  <c r="S253" i="16"/>
  <c r="T253" i="16"/>
  <c r="U253" i="16"/>
  <c r="V253" i="16"/>
  <c r="AB253" i="16"/>
  <c r="AA257" i="16"/>
  <c r="S257" i="16"/>
  <c r="T257" i="16"/>
  <c r="U257" i="16"/>
  <c r="V257" i="16"/>
  <c r="AB257" i="16"/>
  <c r="S261" i="16"/>
  <c r="AA261" i="16"/>
  <c r="T261" i="16"/>
  <c r="U261" i="16"/>
  <c r="V261" i="16"/>
  <c r="AB261" i="16"/>
  <c r="AA265" i="16"/>
  <c r="S265" i="16"/>
  <c r="T265" i="16"/>
  <c r="U265" i="16"/>
  <c r="V265" i="16"/>
  <c r="AB265" i="16"/>
  <c r="AA269" i="16"/>
  <c r="S269" i="16"/>
  <c r="T269" i="16"/>
  <c r="U269" i="16"/>
  <c r="V269" i="16"/>
  <c r="AB269" i="16"/>
  <c r="AA273" i="16"/>
  <c r="S273" i="16"/>
  <c r="T273" i="16"/>
  <c r="U273" i="16"/>
  <c r="V273" i="16"/>
  <c r="AB273" i="16"/>
  <c r="S277" i="16"/>
  <c r="AA277" i="16"/>
  <c r="V277" i="16"/>
  <c r="T277" i="16"/>
  <c r="U277" i="16"/>
  <c r="AB277" i="16"/>
  <c r="AA281" i="16"/>
  <c r="S281" i="16"/>
  <c r="V281" i="16"/>
  <c r="T281" i="16"/>
  <c r="U281" i="16"/>
  <c r="AB281" i="16"/>
  <c r="V285" i="16"/>
  <c r="S285" i="16"/>
  <c r="AA285" i="16"/>
  <c r="T285" i="16"/>
  <c r="U285" i="16"/>
  <c r="AB285" i="16"/>
  <c r="V289" i="16"/>
  <c r="AA289" i="16"/>
  <c r="S289" i="16"/>
  <c r="T289" i="16"/>
  <c r="U289" i="16"/>
  <c r="AB289" i="16"/>
  <c r="V293" i="16"/>
  <c r="S293" i="16"/>
  <c r="T293" i="16"/>
  <c r="AA293" i="16"/>
  <c r="U293" i="16"/>
  <c r="AB293" i="16"/>
  <c r="V297" i="16"/>
  <c r="AA297" i="16"/>
  <c r="S297" i="16"/>
  <c r="T297" i="16"/>
  <c r="U297" i="16"/>
  <c r="AB297" i="16"/>
  <c r="V301" i="16"/>
  <c r="S301" i="16"/>
  <c r="AA301" i="16"/>
  <c r="T301" i="16"/>
  <c r="U301" i="16"/>
  <c r="AB301" i="16"/>
  <c r="AA305" i="16"/>
  <c r="S305" i="16"/>
  <c r="U305" i="16"/>
  <c r="T305" i="16"/>
  <c r="V305" i="16"/>
  <c r="AB305" i="16"/>
  <c r="V309" i="16"/>
  <c r="U309" i="16"/>
  <c r="AA309" i="16"/>
  <c r="S309" i="16"/>
  <c r="T309" i="16"/>
  <c r="AB309" i="16"/>
  <c r="V313" i="16"/>
  <c r="U313" i="16"/>
  <c r="AA313" i="16"/>
  <c r="S313" i="16"/>
  <c r="T313" i="16"/>
  <c r="AB313" i="16"/>
  <c r="V317" i="16"/>
  <c r="U317" i="16"/>
  <c r="AA317" i="16"/>
  <c r="T317" i="16"/>
  <c r="S317" i="16"/>
  <c r="AB317" i="16"/>
  <c r="V321" i="16"/>
  <c r="U321" i="16"/>
  <c r="AA321" i="16"/>
  <c r="S321" i="16"/>
  <c r="T321" i="16"/>
  <c r="AB321" i="16"/>
  <c r="V325" i="16"/>
  <c r="U325" i="16"/>
  <c r="AA325" i="16"/>
  <c r="S325" i="16"/>
  <c r="T325" i="16"/>
  <c r="AB325" i="16"/>
  <c r="V329" i="16"/>
  <c r="U329" i="16"/>
  <c r="AA329" i="16"/>
  <c r="S329" i="16"/>
  <c r="T329" i="16"/>
  <c r="AB329" i="16"/>
  <c r="V333" i="16"/>
  <c r="U333" i="16"/>
  <c r="AA333" i="16"/>
  <c r="S333" i="16"/>
  <c r="T333" i="16"/>
  <c r="AB333" i="16"/>
  <c r="V337" i="16"/>
  <c r="U337" i="16"/>
  <c r="AA337" i="16"/>
  <c r="S337" i="16"/>
  <c r="T337" i="16"/>
  <c r="AB337" i="16"/>
  <c r="V341" i="16"/>
  <c r="S341" i="16"/>
  <c r="T341" i="16"/>
  <c r="AA341" i="16"/>
  <c r="U341" i="16"/>
  <c r="AB341" i="16"/>
  <c r="W345" i="16"/>
  <c r="V345" i="16"/>
  <c r="AA345" i="16"/>
  <c r="S345" i="16"/>
  <c r="U345" i="16"/>
  <c r="T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6" i="11"/>
  <c r="AB33" i="16" l="1"/>
  <c r="AA33" i="16"/>
  <c r="D71" i="6" l="1"/>
  <c r="D70" i="6"/>
  <c r="D69" i="6"/>
  <c r="D68" i="6"/>
  <c r="D69" i="15"/>
  <c r="D53" i="8"/>
  <c r="P6" i="13" s="1"/>
  <c r="D53" i="9"/>
  <c r="P5" i="13" s="1"/>
  <c r="D55" i="10"/>
  <c r="D53" i="10"/>
  <c r="D51" i="10"/>
  <c r="P4" i="13" s="1"/>
  <c r="D77" i="11" l="1"/>
  <c r="D74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G74" i="15" s="1"/>
  <c r="D12" i="15"/>
  <c r="D74" i="15" l="1"/>
  <c r="F74" i="15"/>
  <c r="E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9" i="9"/>
  <c r="G59" i="9"/>
  <c r="F59" i="9"/>
  <c r="E59" i="9"/>
  <c r="D59" i="9"/>
  <c r="D57" i="9"/>
  <c r="D56" i="9"/>
  <c r="D55" i="9"/>
  <c r="H57" i="9"/>
  <c r="G57" i="9"/>
  <c r="F57" i="9"/>
  <c r="E57" i="9"/>
  <c r="H56" i="9"/>
  <c r="G56" i="9"/>
  <c r="F56" i="9"/>
  <c r="E56" i="9"/>
  <c r="H55" i="9"/>
  <c r="G55" i="9"/>
  <c r="F55" i="9"/>
  <c r="E55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0" i="11"/>
  <c r="G80" i="11"/>
  <c r="F80" i="11"/>
  <c r="E80" i="11"/>
  <c r="D80" i="11"/>
  <c r="H77" i="11"/>
  <c r="G77" i="11"/>
  <c r="F77" i="11"/>
  <c r="E77" i="11"/>
  <c r="H76" i="11"/>
  <c r="G76" i="11"/>
  <c r="F76" i="11"/>
  <c r="E76" i="11"/>
  <c r="H78" i="11"/>
  <c r="G78" i="11"/>
  <c r="F78" i="11"/>
  <c r="E78" i="11"/>
  <c r="D78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<sst xmlns="http://schemas.openxmlformats.org/spreadsheetml/2006/main" count="7579" uniqueCount="1307">
  <si>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</si>
  <si>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</si>
  <si>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</si>
  <si>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</si>
  <si>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</si>
  <si>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</si>
  <si>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</si>
  <si>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</si>
  <si>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</si>
  <si>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</si>
  <si>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</si>
  <si>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</si>
  <si>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</si>
  <si>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</si>
  <si>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</si>
  <si>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</si>
  <si>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</si>
  <si>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</si>
  <si>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</si>
  <si>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</si>
  <si>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</si>
  <si>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</si>
  <si>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</si>
  <si>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</si>
  <si>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</si>
  <si>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</si>
  <si>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</si>
  <si>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</si>
  <si>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</si>
  <si>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</si>
  <si>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</si>
  <si>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</si>
  <si>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</si>
  <si>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</si>
  <si>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</si>
  <si>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</si>
  <si>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</si>
  <si>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</si>
  <si>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</si>
  <si>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</si>
  <si>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</si>
  <si>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</si>
  <si>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</si>
  <si>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</si>
  <si>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</si>
  <si>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</si>
  <si>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</si>
  <si>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</si>
  <si>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</si>
  <si>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</si>
  <si>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</si>
  <si>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</si>
  <si>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</si>
  <si>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</si>
  <si>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</si>
  <si>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</si>
  <si>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</si>
  <si>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</si>
  <si>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</si>
  <si>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</si>
  <si>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</si>
  <si>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</si>
  <si>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</si>
  <si>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</si>
  <si>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</si>
  <si>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</si>
  <si>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</si>
  <si>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</si>
  <si>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</si>
  <si>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</si>
  <si>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</si>
  <si>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</si>
  <si>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</si>
  <si>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</si>
  <si>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</si>
  <si>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</si>
  <si>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</si>
  <si>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</si>
  <si>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</si>
  <si>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</si>
  <si>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</si>
  <si>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</si>
  <si>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</si>
  <si>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</si>
  <si>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</si>
  <si>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</si>
  <si>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</si>
  <si>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</si>
  <si>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</si>
  <si>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</si>
  <si>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</si>
  <si>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</si>
  <si>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</si>
  <si>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</si>
  <si>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</si>
  <si>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</si>
  <si>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</si>
  <si>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</si>
  <si>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</si>
  <si>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</si>
  <si>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</si>
  <si>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</si>
  <si>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</si>
  <si>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</si>
  <si>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</si>
  <si>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</si>
  <si>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</si>
  <si>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</si>
  <si>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</si>
  <si>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</si>
  <si>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</si>
  <si>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</si>
  <si>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</si>
  <si>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</si>
  <si>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</si>
  <si>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</si>
  <si>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</si>
  <si>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</si>
  <si>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</si>
  <si>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</si>
  <si>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</si>
  <si>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</si>
  <si>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</si>
  <si>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</si>
  <si>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</si>
  <si>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</si>
  <si>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</si>
  <si>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</si>
  <si>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</si>
  <si>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</si>
  <si>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</si>
  <si>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</si>
  <si>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</si>
  <si>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</si>
  <si>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</si>
  <si>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</si>
  <si>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</si>
  <si>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</si>
  <si>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</si>
  <si>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</si>
  <si>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</si>
  <si>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</si>
  <si>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</si>
  <si>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</si>
  <si>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</si>
  <si>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</si>
  <si>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</si>
  <si>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</si>
  <si>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</si>
  <si>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</si>
  <si>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</si>
  <si>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</si>
  <si>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</si>
  <si>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</si>
  <si>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</si>
  <si>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</si>
  <si>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</si>
  <si>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</si>
  <si>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</si>
  <si>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</si>
  <si>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</si>
  <si>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</si>
  <si>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</si>
  <si>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</si>
  <si>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</si>
  <si>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</si>
  <si>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</si>
  <si>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</si>
  <si>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</si>
  <si>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</si>
  <si>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</si>
  <si>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</si>
  <si>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</si>
  <si>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</si>
  <si>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</si>
  <si>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</si>
  <si>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</si>
  <si>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</si>
  <si>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</si>
  <si>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</si>
  <si>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</si>
  <si>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</si>
  <si>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</si>
  <si>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</si>
  <si>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</si>
  <si>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</si>
  <si>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</si>
  <si>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</si>
  <si>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</si>
  <si>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</si>
  <si>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</si>
  <si>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</si>
  <si>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</si>
  <si>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</si>
  <si>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</si>
  <si>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</si>
  <si>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</si>
  <si>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</si>
  <si>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</si>
  <si>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</si>
  <si>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</si>
  <si>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</si>
  <si>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</si>
  <si>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</si>
  <si>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</si>
  <si>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</si>
  <si>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</si>
  <si>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</si>
  <si>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</si>
  <si>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</si>
  <si>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</si>
  <si>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</si>
  <si>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</si>
  <si>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</si>
  <si>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</si>
  <si>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</si>
  <si>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</si>
  <si>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</si>
  <si>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</si>
  <si>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</si>
  <si>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</si>
  <si>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</si>
  <si>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</si>
  <si>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</si>
  <si>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</si>
  <si>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</si>
  <si>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</si>
  <si>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</si>
  <si>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</si>
  <si>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</si>
  <si>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</si>
  <si>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</si>
  <si>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</si>
  <si>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</si>
  <si>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</si>
  <si>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</si>
  <si>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</si>
  <si>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</si>
  <si>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</si>
  <si>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</si>
  <si>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</si>
  <si>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</si>
  <si>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</si>
  <si>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</si>
  <si>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</si>
  <si>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</si>
  <si>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</si>
  <si>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</si>
  <si>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</si>
  <si>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</si>
  <si>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</si>
  <si>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</si>
  <si>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</si>
  <si>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</si>
  <si>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</si>
  <si>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</si>
  <si>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</si>
  <si>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</si>
  <si>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</si>
  <si>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</si>
  <si>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</si>
  <si>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</si>
  <si>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</si>
  <si>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</si>
  <si>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</si>
  <si>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</si>
  <si>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</si>
  <si>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</si>
  <si>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</si>
  <si>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</si>
  <si>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</si>
  <si>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</si>
  <si>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</si>
  <si>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</si>
  <si>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</si>
  <si>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</si>
  <si>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</si>
  <si>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</si>
  <si>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</si>
  <si>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</si>
  <si>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</si>
  <si>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</si>
  <si>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</si>
  <si>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</si>
  <si>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</si>
  <si>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</si>
  <si>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</si>
  <si>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</si>
  <si>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</si>
  <si>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</si>
  <si>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</si>
  <si>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</si>
  <si>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</si>
  <si>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</si>
  <si>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</si>
  <si>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</si>
  <si>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</si>
  <si>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</si>
  <si>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</si>
  <si>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</si>
  <si>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</si>
  <si>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</si>
  <si>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</si>
  <si>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</si>
  <si>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</si>
  <si>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</si>
  <si>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</si>
  <si>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</si>
  <si>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</si>
  <si>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</si>
  <si>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</si>
  <si>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</si>
  <si>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</si>
  <si>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</si>
  <si>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</si>
  <si>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</si>
  <si>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</si>
  <si>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</si>
  <si>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</si>
  <si>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</si>
  <si>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</si>
  <si>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</si>
  <si>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</si>
  <si>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</si>
  <si>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</si>
  <si>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</si>
  <si>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</si>
  <si>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</si>
  <si>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</si>
  <si>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</si>
  <si>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</si>
  <si>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</si>
  <si>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</si>
  <si>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</si>
  <si>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</si>
  <si>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</si>
  <si>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</si>
  <si>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</si>
  <si>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</si>
  <si>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</si>
  <si>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</si>
  <si>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</si>
  <si>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</si>
  <si>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</si>
  <si>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</si>
  <si>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</si>
  <si>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</si>
  <si>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</si>
  <si>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</si>
  <si>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</si>
  <si>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</si>
  <si>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</si>
  <si>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</si>
  <si>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</si>
  <si>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</si>
  <si>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</si>
  <si>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</si>
  <si>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</si>
  <si>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</si>
  <si>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</si>
  <si>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</si>
  <si>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</si>
  <si>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</si>
  <si>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</si>
  <si>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</si>
  <si>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</si>
  <si>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</si>
  <si>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</si>
  <si>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</si>
  <si>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</si>
  <si>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</si>
  <si>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</si>
  <si>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</si>
  <si>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</si>
  <si>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</si>
  <si>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</si>
  <si>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</si>
  <si>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</si>
  <si>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</si>
  <si>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</si>
  <si>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</si>
  <si>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</si>
  <si>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</si>
  <si>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</si>
  <si>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</si>
  <si>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</si>
  <si>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</si>
  <si>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</si>
  <si>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</si>
  <si>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</si>
  <si>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</si>
  <si>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</si>
  <si>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</si>
  <si>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</si>
  <si>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</si>
  <si>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</si>
  <si>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</si>
  <si>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</si>
  <si>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</si>
  <si>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</si>
  <si>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</si>
  <si>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</si>
  <si>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</si>
  <si>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</si>
  <si>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</si>
  <si>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</si>
  <si>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</si>
  <si>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</si>
  <si>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</si>
  <si>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</si>
  <si>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</si>
  <si>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</si>
  <si>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</si>
  <si>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</si>
  <si>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</si>
  <si>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</si>
  <si>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</si>
  <si>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</si>
  <si>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</si>
  <si>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</si>
  <si>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</si>
  <si>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</si>
  <si>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</si>
  <si>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</si>
  <si>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</si>
  <si>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</si>
  <si>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</si>
  <si>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</si>
  <si>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</si>
  <si>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</si>
  <si>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</si>
  <si>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</si>
  <si>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</si>
  <si>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</si>
  <si>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</si>
  <si>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</si>
  <si>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</si>
  <si>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</si>
  <si>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</si>
  <si>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</si>
  <si>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</si>
  <si>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</si>
  <si>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</si>
  <si>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</si>
  <si>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</si>
  <si>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</si>
  <si>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</si>
  <si>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</si>
  <si>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</si>
  <si>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</si>
  <si>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</si>
  <si>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</si>
  <si>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</si>
  <si>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</si>
  <si>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</si>
  <si>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</si>
  <si>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</si>
  <si>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</si>
  <si>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</si>
  <si>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</si>
  <si>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</si>
  <si>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</si>
  <si>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</si>
  <si>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</si>
  <si>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</si>
  <si>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</si>
  <si>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</si>
  <si>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</si>
  <si>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</si>
  <si>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</si>
  <si>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</si>
  <si>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</si>
  <si>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</si>
  <si>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</si>
  <si>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</si>
  <si>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</si>
  <si>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</si>
  <si>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</si>
  <si>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</si>
  <si>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</si>
  <si>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</si>
  <si>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</si>
  <si>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</si>
  <si>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</si>
  <si>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</si>
  <si>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</si>
  <si>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</si>
  <si>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</si>
  <si>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</si>
  <si>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</si>
  <si>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</si>
  <si>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</si>
  <si>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</si>
  <si>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</si>
  <si>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</si>
  <si>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</si>
  <si>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</si>
  <si>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</si>
  <si>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</si>
  <si>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</si>
  <si>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</si>
  <si>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</si>
  <si>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</si>
  <si>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</si>
  <si>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</si>
  <si>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</si>
  <si>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</si>
  <si>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</si>
  <si>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</si>
  <si>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</si>
  <si>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</si>
  <si>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</si>
  <si>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</si>
  <si>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</si>
  <si>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</si>
  <si>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</si>
  <si>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</si>
  <si>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</si>
  <si>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</si>
  <si>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</si>
  <si>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</si>
  <si>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</si>
  <si>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</si>
  <si>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</si>
  <si>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</si>
  <si>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</si>
  <si>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</si>
  <si>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</si>
  <si>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</si>
  <si>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</si>
  <si>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</si>
  <si>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</si>
  <si>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</si>
  <si>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</si>
  <si>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</si>
  <si>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</si>
  <si>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</si>
  <si>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</si>
  <si>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</si>
  <si>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</si>
  <si>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</si>
  <si>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</si>
  <si>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</si>
  <si>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</si>
  <si>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</si>
  <si>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</si>
  <si>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</si>
  <si>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</si>
  <si>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</si>
  <si>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</si>
  <si>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</si>
  <si>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</si>
  <si>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</si>
  <si>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</si>
  <si>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</si>
  <si>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</si>
  <si>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</si>
  <si>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</si>
  <si>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</si>
  <si>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</si>
  <si>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</si>
  <si>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</si>
  <si>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</si>
  <si>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</si>
  <si>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</si>
  <si>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</si>
  <si>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</si>
  <si>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</si>
  <si>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</si>
  <si>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</si>
  <si>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</si>
  <si>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</si>
  <si>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</si>
  <si>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</si>
  <si>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</si>
  <si>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</si>
  <si>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</si>
  <si>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</si>
  <si>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</si>
  <si>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</si>
  <si>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</si>
  <si>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</si>
  <si>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</si>
  <si>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</si>
  <si>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</si>
  <si>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</si>
  <si>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</si>
  <si>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</si>
  <si>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</si>
  <si>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</si>
  <si>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</si>
  <si>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</si>
  <si>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</si>
  <si>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</si>
  <si>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</si>
  <si>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</si>
  <si>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</si>
  <si>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</si>
  <si>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</si>
  <si>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</si>
  <si>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</si>
  <si>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</si>
  <si>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</si>
  <si>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</si>
  <si>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</si>
  <si>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</si>
  <si>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</si>
  <si>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</si>
  <si>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</si>
  <si>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</si>
  <si>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</si>
  <si>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</si>
  <si>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</si>
  <si>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</si>
  <si>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</si>
  <si>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</si>
  <si>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</si>
  <si>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</si>
  <si>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</si>
  <si>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</si>
  <si>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</si>
  <si>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</si>
  <si>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</si>
  <si>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</si>
  <si>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</si>
  <si>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</si>
  <si>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</si>
  <si>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</si>
  <si>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</si>
  <si>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</si>
  <si>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</si>
  <si>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</si>
  <si>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</si>
  <si>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</si>
  <si>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</si>
  <si>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</si>
  <si>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</si>
  <si>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</si>
  <si>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</si>
  <si>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</si>
  <si>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</si>
  <si>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</si>
  <si>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</si>
  <si>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</si>
  <si>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</si>
  <si>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</si>
  <si>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</si>
  <si>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</si>
  <si>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</si>
  <si>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</si>
  <si>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</si>
  <si>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</si>
  <si>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</si>
  <si>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</si>
  <si>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</si>
  <si>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</si>
  <si>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</si>
  <si>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</si>
  <si>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</si>
  <si>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</si>
  <si>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</si>
  <si>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</si>
  <si>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</si>
  <si>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</si>
  <si>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</si>
  <si>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</si>
  <si>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</si>
  <si>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</si>
  <si>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</si>
  <si>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</si>
  <si>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</si>
  <si>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</si>
  <si>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</si>
  <si>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</si>
  <si>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</si>
  <si>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</si>
  <si>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</si>
  <si>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</si>
  <si>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</si>
  <si>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</si>
  <si>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</si>
  <si>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</si>
  <si>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</si>
  <si>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</si>
  <si>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</si>
  <si>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</si>
  <si>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</si>
  <si>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</si>
  <si>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</si>
  <si>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</si>
  <si>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</si>
  <si>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</si>
  <si>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</si>
  <si>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</si>
  <si>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</si>
  <si>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</si>
  <si>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</si>
  <si>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</si>
  <si>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</si>
  <si>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</si>
  <si>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</si>
  <si>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</si>
  <si>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</si>
  <si>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</si>
  <si>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</si>
  <si>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</si>
  <si>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</si>
  <si>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</si>
  <si>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</si>
  <si>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</si>
  <si>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</si>
  <si>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</si>
  <si>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</si>
  <si>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</si>
  <si>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</si>
  <si>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</si>
  <si>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</si>
  <si>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</si>
  <si>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</si>
  <si>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</si>
  <si>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</si>
  <si>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</si>
  <si>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</si>
  <si>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</si>
  <si>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</si>
  <si>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</si>
  <si>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</si>
  <si>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</si>
  <si>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</si>
  <si>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</si>
  <si>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</si>
  <si>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</si>
  <si>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</si>
  <si>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</si>
  <si>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</si>
  <si>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</si>
  <si>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</si>
  <si>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</si>
  <si>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</si>
  <si>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</si>
  <si>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</si>
  <si>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</si>
  <si>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</si>
  <si>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</si>
  <si>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</si>
  <si>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</si>
  <si>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</si>
  <si>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</si>
  <si>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</si>
  <si>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</si>
  <si>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</si>
  <si>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</si>
  <si>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</si>
  <si>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</si>
  <si>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</si>
  <si>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</si>
  <si>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</si>
  <si>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</si>
  <si>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</si>
  <si>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</si>
  <si>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</si>
  <si>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</si>
  <si>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</si>
  <si>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</si>
  <si>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</si>
  <si>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</si>
  <si>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</si>
  <si>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</si>
  <si>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</si>
  <si>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</si>
  <si>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</si>
  <si>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</si>
  <si>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</si>
  <si>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</si>
  <si>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</si>
  <si>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</si>
  <si>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</si>
  <si>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</si>
  <si>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</si>
  <si>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</si>
  <si>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</si>
  <si>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</si>
  <si>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</si>
  <si>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</si>
  <si>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</si>
  <si>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</si>
  <si>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</si>
  <si>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</si>
  <si>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</si>
  <si>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</si>
  <si>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</si>
  <si>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</si>
  <si>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</si>
  <si>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</si>
  <si>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</si>
  <si>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</si>
  <si>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</si>
  <si>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</si>
  <si>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</si>
  <si>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</si>
  <si>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</si>
  <si>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</si>
  <si>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</si>
  <si>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</si>
  <si>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</si>
  <si>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</si>
  <si>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</si>
  <si>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</si>
  <si>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</si>
  <si>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</si>
  <si>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</si>
  <si>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</si>
  <si>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</si>
  <si>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</si>
  <si>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</si>
  <si>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</si>
  <si>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</si>
  <si>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</si>
  <si>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</si>
  <si>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</si>
  <si>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</si>
  <si>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</si>
  <si>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</si>
  <si>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</si>
  <si>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</si>
  <si>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</si>
  <si>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</si>
  <si>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</si>
  <si>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</si>
  <si>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</si>
  <si>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</si>
  <si>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</si>
  <si>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</si>
  <si>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</si>
  <si>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</si>
  <si>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</si>
  <si>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</si>
  <si>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</si>
  <si>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</si>
  <si>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</si>
  <si>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</si>
  <si>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</si>
  <si>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</si>
  <si>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</si>
  <si>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</si>
  <si>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</si>
  <si>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</si>
  <si>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</si>
  <si>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</si>
  <si>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</si>
  <si>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</si>
  <si>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</si>
  <si>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</si>
  <si>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</si>
  <si>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</si>
  <si>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</si>
  <si>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</si>
  <si>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</si>
  <si>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</si>
  <si>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</si>
  <si>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</si>
  <si>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</si>
  <si>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</si>
  <si>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</si>
  <si>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</si>
  <si>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</si>
  <si>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</si>
  <si>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</si>
  <si>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</si>
  <si>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</si>
  <si>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</si>
  <si>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</si>
  <si>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</si>
  <si>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</si>
  <si>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</si>
  <si>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</si>
  <si>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</si>
  <si>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</si>
  <si>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</si>
  <si>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</si>
  <si>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</si>
  <si>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</si>
  <si>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</si>
  <si>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</si>
  <si>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</si>
  <si>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</si>
  <si>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</si>
  <si>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</si>
  <si>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</si>
  <si>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</si>
  <si>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</si>
  <si>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</si>
  <si>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</si>
  <si>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</si>
  <si>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</si>
  <si>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</si>
  <si>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</si>
  <si>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</si>
  <si>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</si>
  <si>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</si>
  <si>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</si>
  <si>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</si>
  <si>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</si>
  <si>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</si>
  <si>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</si>
  <si>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</si>
  <si>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</si>
  <si>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</si>
  <si>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</si>
  <si>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</si>
  <si>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</si>
  <si>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</si>
  <si>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</si>
  <si>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</si>
  <si>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</si>
  <si>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</si>
  <si>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</si>
  <si>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</si>
  <si>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</si>
  <si>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</si>
  <si>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</si>
  <si>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</si>
  <si>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</si>
  <si>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</si>
  <si>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</si>
  <si>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</si>
  <si>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</si>
  <si>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</si>
  <si>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</si>
  <si>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</si>
  <si>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</si>
  <si>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</si>
  <si>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</si>
  <si>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</si>
  <si>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</si>
  <si>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</si>
  <si>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</si>
  <si>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</si>
  <si>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</si>
  <si>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</si>
  <si>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</si>
  <si>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</si>
  <si>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</si>
  <si>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</si>
  <si>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</si>
  <si>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</si>
  <si>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</si>
  <si>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</si>
  <si>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</si>
  <si>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</si>
  <si>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</si>
  <si>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</si>
  <si>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</si>
  <si>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</si>
  <si>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</si>
  <si>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</si>
  <si>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</si>
  <si>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</si>
  <si>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</si>
  <si>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</si>
  <si>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</si>
  <si>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</si>
  <si>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</si>
  <si>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</si>
  <si>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</si>
  <si>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</si>
  <si>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</si>
  <si>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</si>
  <si>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</si>
  <si>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</si>
  <si>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</si>
  <si>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</si>
  <si>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</si>
  <si>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</si>
  <si>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</si>
  <si>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</si>
  <si>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</si>
  <si>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</si>
  <si>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</si>
  <si>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</si>
  <si>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</si>
  <si>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</si>
  <si>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</si>
  <si>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</si>
  <si>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</si>
  <si>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</si>
  <si>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</si>
  <si>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</si>
  <si>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</si>
  <si>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</si>
  <si>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</si>
  <si>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</si>
  <si>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</si>
  <si>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</si>
  <si>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</si>
  <si>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</si>
  <si>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</si>
  <si>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</si>
  <si>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</si>
  <si>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</si>
  <si>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</si>
  <si>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</si>
  <si>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</si>
  <si>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</si>
  <si>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</si>
  <si>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</si>
  <si>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</si>
  <si>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</si>
  <si>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</si>
  <si>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</si>
  <si>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</si>
  <si>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</si>
  <si>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</si>
  <si>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</si>
  <si>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</si>
  <si>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</si>
  <si>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</si>
  <si>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</si>
  <si>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</si>
  <si>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</si>
  <si>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</si>
  <si>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</si>
  <si>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</si>
  <si>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</si>
  <si>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</si>
  <si>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</si>
  <si>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</si>
  <si>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</si>
  <si>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</si>
  <si>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</si>
  <si>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</si>
  <si>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</si>
  <si>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</si>
  <si>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</si>
  <si>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</si>
  <si>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</si>
  <si>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</si>
  <si>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</si>
  <si>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</si>
  <si>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</si>
  <si>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</si>
  <si>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</si>
  <si>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</si>
  <si>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</si>
  <si>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</si>
  <si>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</si>
  <si>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</si>
  <si>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</si>
  <si>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</si>
  <si>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</si>
  <si>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</si>
  <si>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</si>
  <si>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</si>
  <si>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</si>
  <si>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</si>
  <si>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</si>
  <si>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</si>
  <si>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</si>
  <si>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</si>
  <si>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</si>
  <si>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</si>
  <si>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</si>
  <si>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</si>
  <si>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</si>
  <si>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</si>
  <si>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</si>
  <si>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</si>
  <si>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</si>
  <si>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</si>
  <si>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</si>
  <si>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</si>
  <si>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</si>
  <si>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</si>
  <si>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</si>
  <si>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</si>
  <si>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</si>
  <si>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</si>
  <si>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</si>
  <si>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</si>
  <si>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</si>
  <si>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</si>
  <si>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</si>
  <si>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</si>
  <si>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</si>
  <si>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</si>
  <si>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</si>
  <si>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</si>
  <si>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</si>
  <si>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</si>
  <si>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</si>
  <si>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</si>
  <si>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</si>
  <si>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</si>
  <si>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</si>
  <si>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</si>
  <si>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</si>
  <si>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</si>
  <si>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</si>
  <si>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</si>
  <si>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</si>
  <si>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</si>
  <si>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</si>
  <si>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</si>
  <si>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</si>
  <si>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</si>
  <si>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</si>
  <si>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</si>
  <si>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</si>
  <si>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</si>
  <si>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</si>
  <si>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</si>
  <si>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</si>
  <si>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</si>
  <si>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</si>
  <si>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</si>
  <si>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</si>
  <si>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</si>
  <si>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</si>
  <si>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</si>
  <si>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</si>
  <si>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</si>
  <si>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</si>
  <si>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</si>
  <si>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</si>
  <si>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</si>
  <si>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</si>
  <si>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</si>
  <si>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</si>
  <si>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</si>
  <si>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</si>
  <si>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</si>
  <si>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</si>
  <si>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</si>
  <si>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</si>
  <si>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</si>
  <si>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</si>
  <si>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</si>
  <si>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</si>
  <si>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</si>
  <si>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</si>
  <si>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</si>
  <si>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</si>
  <si>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</si>
  <si>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</si>
  <si>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</si>
  <si>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</si>
  <si>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</si>
  <si>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</si>
  <si>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</si>
  <si>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</si>
  <si>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</si>
  <si>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</si>
  <si>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</si>
  <si>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</si>
  <si>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</si>
  <si>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</si>
  <si>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</si>
  <si>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</si>
  <si>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</si>
  <si>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</si>
  <si>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</si>
  <si>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</si>
  <si>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</si>
  <si>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</si>
  <si>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</si>
  <si>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</si>
  <si>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</si>
  <si>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</si>
  <si>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</si>
  <si>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</si>
  <si>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</si>
  <si>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</si>
  <si>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</si>
  <si>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</si>
  <si>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</si>
  <si>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</si>
  <si>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</si>
  <si>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</si>
  <si>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</si>
  <si>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</si>
  <si>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</si>
  <si>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</si>
  <si>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</si>
  <si>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</si>
  <si>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</si>
  <si>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</si>
  <si>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</si>
  <si>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</si>
  <si>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</si>
  <si>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</si>
  <si>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</si>
  <si>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</si>
  <si>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</si>
  <si>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</si>
  <si>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</si>
  <si>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</si>
  <si>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</si>
  <si>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</si>
  <si>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</si>
  <si>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</si>
  <si>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</si>
  <si>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</si>
  <si>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</si>
  <si>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</si>
  <si>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</si>
  <si>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</si>
  <si>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</si>
  <si>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</si>
  <si>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</si>
  <si>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</si>
  <si>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</si>
  <si>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</si>
  <si>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</si>
  <si>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</si>
  <si>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</si>
  <si>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</si>
  <si>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</si>
  <si>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</si>
  <si>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W.2019</t>
  </si>
  <si>
    <t>Apr.2019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</si>
  <si>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</si>
  <si>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</si>
  <si>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</si>
  <si>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</si>
  <si>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</si>
  <si>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</si>
  <si>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</si>
  <si>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</si>
  <si>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</si>
  <si>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</si>
  <si>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</si>
  <si>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</si>
  <si>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Member State: Hungary</t>
  </si>
  <si>
    <t>Date: 29/03/2019</t>
  </si>
  <si>
    <t>Data are in HUF (millions of units of national currency)</t>
  </si>
  <si>
    <t>M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</si>
  <si>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</si>
  <si>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</si>
  <si>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</si>
  <si>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</si>
  <si>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</si>
  <si>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</si>
  <si>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</si>
  <si>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</si>
  <si>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</si>
  <si>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</si>
  <si>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</si>
  <si>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</si>
  <si>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</si>
  <si>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</si>
  <si>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</si>
  <si>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</si>
  <si>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</si>
  <si>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</si>
  <si>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</si>
  <si>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</si>
  <si>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</si>
  <si>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</si>
  <si>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</si>
  <si>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</si>
  <si>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</si>
  <si>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</si>
  <si>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</si>
  <si>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</si>
  <si>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</si>
  <si>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</si>
  <si>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</si>
  <si>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</si>
  <si>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</si>
  <si>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</si>
  <si>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</si>
  <si>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>ceased on January 31 2015</t>
  </si>
  <si>
    <t>Resolution Fund and its subsidiaries, guarantee funds and Eximbank are included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</si>
  <si>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</si>
  <si>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</si>
  <si>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</si>
  <si>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</si>
  <si>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</si>
  <si>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 xml:space="preserve">   Claim cancellation against Health Insurance fund</t>
  </si>
  <si>
    <t xml:space="preserve">   Gripen reclassification from operative lease to financial lease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</si>
  <si>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</si>
  <si>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</si>
  <si>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</si>
  <si>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</si>
  <si>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</si>
  <si>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</si>
  <si>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</si>
  <si>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</si>
  <si>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2015: Sale of equities in OTP bank 75 Bn HUF</t>
  </si>
  <si>
    <t>2016: growth-related corporate income tax credit</t>
  </si>
  <si>
    <t xml:space="preserve">Timing issue of inter-government transactions </t>
  </si>
  <si>
    <t>A.N.@@._Z.S1313._Z._Z.A.F.F8.T._Z.XDC._T.S.V.N.C03.EDP2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</si>
  <si>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</si>
  <si>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</si>
  <si>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</si>
  <si>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</si>
  <si>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</si>
  <si>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</si>
  <si>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</si>
  <si>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</si>
  <si>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</si>
  <si>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</si>
  <si>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</si>
  <si>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</si>
  <si>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</si>
  <si>
    <t>2019: relates to Pre-natal Funding Scheme</t>
  </si>
  <si>
    <t>2016: Mezőhegyes (13,1 HUF Bn), Pavilon Projekt (17,3 HUF Bn), 2017: Autóipari Próbapálya (15 HUF Bn), Mezőhegyes (6,9 HUF Bn) 2018: Autóipari Próbapálya (2,5 HUF Bn), Volán Buszpark (1,7 HUF Bn), NHSZ Kft (3,0 HUF Bn), Récsei Holdings (3,3 HUF Bn) 2019: Autóipari Próbapálya (21,5 HUF Bn), Ózdi Acélművek (11 HUF 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</si>
</sst>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9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108" fillId="4" borderId="4" xfId="0" applyFont="1" applyFill="1" applyBorder="1" applyAlignment="1" applyProtection="1">
      <alignment horizontal="left"/>
      <protection locked="0"/>
    </xf>
    <xf numFmtId="0" fontId="2" fillId="4" borderId="40" xfId="0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 wrapText="1"/>
      <protection locked="0"/>
    </xf>
    <xf numFmtId="3" fontId="11" fillId="2" borderId="34" xfId="9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Normal="100" zoomScaleSheetLayoutView="50" zoomScalePageLayoutView="60" workbookViewId="0"/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92" t="s">
        <v>802</v>
      </c>
      <c r="P1" s="693"/>
      <c r="Q1" s="693"/>
      <c r="R1" s="694"/>
      <c r="AZ1" s="649"/>
      <c r="BA1" s="650" t="str">
        <f t="shared" ref="BA1:BA29" si="0">"Member State: "&amp;BC1</f>
        <v>Member State: XXXX</v>
      </c>
      <c r="BB1" s="651" t="s">
        <v>1208</v>
      </c>
      <c r="BC1" s="652" t="s">
        <v>842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1219</v>
      </c>
      <c r="O2" s="646" t="s">
        <v>803</v>
      </c>
      <c r="P2" s="639" t="str">
        <f>IF(LEFT('Table 1'!E41,2)="OK","OK","not fully completed!")</f>
        <v>OK</v>
      </c>
      <c r="Q2" s="646" t="s">
        <v>808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817</v>
      </c>
      <c r="BC2" s="652" t="s">
        <v>844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804</v>
      </c>
      <c r="P3" s="641" t="str">
        <f>IF(LEFT('Table 2A'!D74,2)="OK","OK","not fully completed!")</f>
        <v>OK</v>
      </c>
      <c r="Q3" s="647" t="s">
        <v>809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821</v>
      </c>
      <c r="BC3" s="652" t="s">
        <v>845</v>
      </c>
    </row>
    <row r="4" spans="1:55" ht="41.25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805</v>
      </c>
      <c r="P4" s="641" t="str">
        <f>IF(LEFT('Table 2B'!D51,2)="OK","OK","not fully completed!")</f>
        <v>OK</v>
      </c>
      <c r="Q4" s="647" t="s">
        <v>810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818</v>
      </c>
      <c r="BC4" s="652" t="s">
        <v>1220</v>
      </c>
    </row>
    <row r="5" spans="1:55" ht="42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806</v>
      </c>
      <c r="P5" s="641" t="str">
        <f>IF(LEFT('Table 2C'!D53,2)="OK","OK","not fully completed!")</f>
        <v>OK</v>
      </c>
      <c r="Q5" s="647" t="s">
        <v>811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822</v>
      </c>
      <c r="BC5" s="652" t="s">
        <v>848</v>
      </c>
    </row>
    <row r="6" spans="1:55" ht="42.75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807</v>
      </c>
      <c r="P6" s="643" t="str">
        <f>IF(LEFT('Table 2D'!D53,2)="OK","OK","not fully completed!")</f>
        <v>OK</v>
      </c>
      <c r="Q6" s="647" t="s">
        <v>812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820</v>
      </c>
      <c r="BC6" s="652" t="s">
        <v>853</v>
      </c>
    </row>
    <row r="7" spans="1:55" ht="42.75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813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823</v>
      </c>
      <c r="BC7" s="652" t="s">
        <v>849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829</v>
      </c>
      <c r="BC8" s="652" t="s">
        <v>855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824</v>
      </c>
      <c r="BC9" s="652" t="s">
        <v>852</v>
      </c>
    </row>
    <row r="10" spans="1:55" ht="42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840</v>
      </c>
      <c r="BC10" s="652" t="s">
        <v>865</v>
      </c>
    </row>
    <row r="11" spans="1:55" ht="33" customHeight="1">
      <c r="A11" s="377"/>
      <c r="B11" s="463"/>
      <c r="C11" s="691"/>
      <c r="D11" s="691"/>
      <c r="E11" s="691"/>
      <c r="F11" s="691"/>
      <c r="G11" s="691"/>
      <c r="H11" s="691"/>
      <c r="I11" s="691"/>
      <c r="J11" s="691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825</v>
      </c>
      <c r="BC11" s="652" t="s">
        <v>851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828</v>
      </c>
      <c r="BC12" s="652" t="s">
        <v>846</v>
      </c>
    </row>
    <row r="13" spans="1:55" ht="33.75">
      <c r="B13" s="463"/>
      <c r="C13" s="160"/>
      <c r="D13" s="377"/>
      <c r="E13" s="653" t="s">
        <v>1232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830</v>
      </c>
      <c r="BC13" s="652" t="s">
        <v>856</v>
      </c>
    </row>
    <row r="14" spans="1:55" ht="33.75">
      <c r="B14" s="463"/>
      <c r="C14" s="160"/>
      <c r="E14" s="161" t="s">
        <v>1233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819</v>
      </c>
      <c r="BC14" s="652" t="s">
        <v>847</v>
      </c>
    </row>
    <row r="15" spans="1:55" ht="31.5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833</v>
      </c>
      <c r="BC15" s="652" t="s">
        <v>857</v>
      </c>
    </row>
    <row r="16" spans="1:55" ht="31.5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831</v>
      </c>
      <c r="BC16" s="652" t="s">
        <v>858</v>
      </c>
    </row>
    <row r="17" spans="1:60" ht="30">
      <c r="A17" s="377"/>
      <c r="B17" s="463"/>
      <c r="C17" s="482" t="s">
        <v>785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832</v>
      </c>
      <c r="BC17" s="652" t="s">
        <v>859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827</v>
      </c>
      <c r="BC18" s="652" t="s">
        <v>854</v>
      </c>
    </row>
    <row r="19" spans="1:60" ht="23.25" customHeight="1">
      <c r="A19" s="274"/>
      <c r="B19" s="484"/>
      <c r="C19" s="690" t="s">
        <v>1230</v>
      </c>
      <c r="D19" s="690"/>
      <c r="E19" s="690"/>
      <c r="F19" s="690"/>
      <c r="G19" s="690"/>
      <c r="H19" s="690"/>
      <c r="I19" s="690"/>
      <c r="J19" s="690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834</v>
      </c>
      <c r="BC19" s="652" t="s">
        <v>860</v>
      </c>
    </row>
    <row r="20" spans="1:60" ht="23.25" customHeight="1">
      <c r="A20" s="274"/>
      <c r="B20" s="484"/>
      <c r="C20" s="690"/>
      <c r="D20" s="690"/>
      <c r="E20" s="690"/>
      <c r="F20" s="690"/>
      <c r="G20" s="690"/>
      <c r="H20" s="690"/>
      <c r="I20" s="690"/>
      <c r="J20" s="690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835</v>
      </c>
      <c r="BC20" s="652" t="s">
        <v>1225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816</v>
      </c>
      <c r="BC21" s="652" t="s">
        <v>843</v>
      </c>
    </row>
    <row r="22" spans="1:60" ht="23.25" customHeight="1">
      <c r="A22" s="274"/>
      <c r="B22" s="377"/>
      <c r="C22" s="690" t="s">
        <v>792</v>
      </c>
      <c r="D22" s="690"/>
      <c r="E22" s="690"/>
      <c r="F22" s="690"/>
      <c r="G22" s="690"/>
      <c r="H22" s="690"/>
      <c r="I22" s="690"/>
      <c r="J22" s="690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836</v>
      </c>
      <c r="BC22" s="652" t="s">
        <v>861</v>
      </c>
    </row>
    <row r="23" spans="1:60" ht="23.25" customHeight="1">
      <c r="A23" s="274"/>
      <c r="B23" s="377"/>
      <c r="C23" s="690"/>
      <c r="D23" s="690"/>
      <c r="E23" s="690"/>
      <c r="F23" s="690"/>
      <c r="G23" s="690"/>
      <c r="H23" s="690"/>
      <c r="I23" s="690"/>
      <c r="J23" s="690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837</v>
      </c>
      <c r="BC23" s="652" t="s">
        <v>862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841</v>
      </c>
      <c r="BC24" s="652" t="s">
        <v>863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814</v>
      </c>
      <c r="BC25" s="652" t="s">
        <v>864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839</v>
      </c>
      <c r="BC26" s="652" t="s">
        <v>1221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826</v>
      </c>
      <c r="BC27" s="652" t="s">
        <v>850</v>
      </c>
    </row>
    <row r="28" spans="1:60" ht="30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838</v>
      </c>
      <c r="BC28" s="652" t="s">
        <v>866</v>
      </c>
    </row>
    <row r="29" spans="1:60" ht="36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 t="str">
        <f t="shared" si="0"/>
        <v>Member State: United Kingdom</v>
      </c>
      <c r="BB29" s="652" t="s">
        <v>815</v>
      </c>
      <c r="BC29" s="652" t="s">
        <v>867</v>
      </c>
    </row>
    <row r="30" spans="1:60" ht="23.25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872</v>
      </c>
      <c r="BC30" s="652" t="s">
        <v>873</v>
      </c>
    </row>
    <row r="31" spans="1:60" ht="23.25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1226</v>
      </c>
      <c r="BC31" s="652" t="s">
        <v>1227</v>
      </c>
      <c r="BG31" s="652"/>
      <c r="BH31" s="652"/>
    </row>
    <row r="32" spans="1:60" ht="23.25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877</v>
      </c>
      <c r="BC32" s="652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870</v>
      </c>
      <c r="BC33" s="652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868</v>
      </c>
      <c r="BC34" s="652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1231</v>
      </c>
      <c r="BB35" s="652" t="s">
        <v>876</v>
      </c>
      <c r="BC35" s="652" t="s">
        <v>1228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874</v>
      </c>
      <c r="BC36" s="652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881</v>
      </c>
      <c r="BC37" s="652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879</v>
      </c>
      <c r="BC38" s="652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1222</v>
      </c>
      <c r="BC39" s="652" t="s">
        <v>1223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1229</v>
      </c>
      <c r="BC40" s="652" t="s">
        <v>1224</v>
      </c>
    </row>
  </sheetData>
  <sheetProtection password="CA3F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F21" sqref="F21"/>
    </sheetView>
  </sheetViews>
  <sheetFormatPr defaultRowHeight="15"/>
  <cols>
    <col min="1" max="1" width="11.5546875" customWidth="1"/>
  </cols>
  <sheetData>
    <row r="1" spans="1:3">
      <c r="A1" t="s">
        <v>730</v>
      </c>
      <c r="B1" s="657" t="s">
        <v>1207</v>
      </c>
      <c r="C1" t="s">
        <v>1195</v>
      </c>
    </row>
    <row r="2" spans="1:3">
      <c r="A2" t="s">
        <v>1196</v>
      </c>
      <c r="B2" s="657" t="str">
        <f>VLOOKUP('Cover page'!$E$13,CountryArray,2,FALSE)</f>
        <v>HU</v>
      </c>
      <c r="C2" t="s">
        <v>1197</v>
      </c>
    </row>
    <row r="3" spans="1:3">
      <c r="A3" t="s">
        <v>1198</v>
      </c>
      <c r="B3" s="657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57" t="s">
        <v>1218</v>
      </c>
      <c r="C4" t="s">
        <v>1201</v>
      </c>
    </row>
    <row r="5" spans="1:3">
      <c r="A5" t="s">
        <v>1202</v>
      </c>
      <c r="B5" s="657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1219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>
      <c r="A5" s="282"/>
      <c r="B5" s="283" t="s">
        <v>485</v>
      </c>
      <c r="C5" s="22" t="s">
        <v>1234</v>
      </c>
      <c r="D5" s="284" t="s">
        <v>465</v>
      </c>
      <c r="E5" s="683">
        <f>2015</f>
        <v>2015</v>
      </c>
      <c r="F5" s="354">
        <f>E5+1</f>
        <v>2016</v>
      </c>
      <c r="G5" s="354">
        <f>F5+1</f>
        <v>2017</v>
      </c>
      <c r="H5" s="354">
        <f>G5+1</f>
        <v>2018</v>
      </c>
      <c r="I5" s="355">
        <f>H5+1</f>
        <v>2019</v>
      </c>
      <c r="J5" s="16"/>
      <c r="AA5" s="652"/>
    </row>
    <row r="6" spans="1:50">
      <c r="A6" s="282"/>
      <c r="B6" s="285"/>
      <c r="C6" s="286" t="str">
        <f>'Cover page'!E14</f>
        <v>Date: 29/03/2019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449</v>
      </c>
      <c r="I8" s="210" t="s">
        <v>5</v>
      </c>
      <c r="J8" s="16"/>
      <c r="AA8" s="652"/>
    </row>
    <row r="9" spans="1:50" ht="16.5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1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HU.T1.B9_STATUS.S13.MNAC.W.2019</v>
      </c>
    </row>
    <row r="10" spans="1:50" ht="17.25" thickTop="1" thickBot="1">
      <c r="A10" s="296" t="s">
        <v>185</v>
      </c>
      <c r="B10" s="490" t="s">
        <v>883</v>
      </c>
      <c r="C10" s="297" t="s">
        <v>6</v>
      </c>
      <c r="D10" s="298" t="s">
        <v>7</v>
      </c>
      <c r="E10" s="261">
        <v>-653828.63656400028</v>
      </c>
      <c r="F10" s="261">
        <v>-584415.35472040041</v>
      </c>
      <c r="G10" s="261">
        <v>-844596.19723600149</v>
      </c>
      <c r="H10" s="261">
        <v>-934343.44671128597</v>
      </c>
      <c r="I10" s="211">
        <v>-824730.66896371788</v>
      </c>
      <c r="J10" s="16"/>
      <c r="AA10" s="652"/>
      <c r="AX10" s="658" t="str">
        <f>CountryCode &amp; ".T1.B9.S13.MNAC." &amp; RefVintage</f>
        <v>HU.T1.B9.S13.MNAC.W.2019</v>
      </c>
    </row>
    <row r="11" spans="1:50" ht="16.5" thickTop="1">
      <c r="A11" s="296" t="s">
        <v>186</v>
      </c>
      <c r="B11" s="490" t="s">
        <v>884</v>
      </c>
      <c r="C11" s="299" t="s">
        <v>8</v>
      </c>
      <c r="D11" s="300" t="s">
        <v>9</v>
      </c>
      <c r="E11" s="87">
        <v>-723608.1080639998</v>
      </c>
      <c r="F11" s="87">
        <v>-660305.90376199991</v>
      </c>
      <c r="G11" s="87">
        <v>-839362.23635700112</v>
      </c>
      <c r="H11" s="87">
        <v>-986023.56626360852</v>
      </c>
      <c r="I11" s="212">
        <v>-582726.62179607572</v>
      </c>
      <c r="J11" s="16"/>
      <c r="AA11" s="652"/>
      <c r="AX11" s="658" t="str">
        <f>CountryCode &amp; ".T1.B9.S1311.MNAC." &amp; RefVintage</f>
        <v>HU.T1.B9.S1311.MNAC.W.2019</v>
      </c>
    </row>
    <row r="12" spans="1:50">
      <c r="A12" s="296" t="s">
        <v>187</v>
      </c>
      <c r="B12" s="490" t="s">
        <v>885</v>
      </c>
      <c r="C12" s="301" t="s">
        <v>10</v>
      </c>
      <c r="D12" s="302" t="s">
        <v>11</v>
      </c>
      <c r="E12" s="88" t="s">
        <v>1235</v>
      </c>
      <c r="F12" s="88" t="s">
        <v>1235</v>
      </c>
      <c r="G12" s="88" t="s">
        <v>1235</v>
      </c>
      <c r="H12" s="88" t="s">
        <v>1235</v>
      </c>
      <c r="I12" s="213" t="s">
        <v>1235</v>
      </c>
      <c r="J12" s="16"/>
      <c r="AA12" s="652"/>
      <c r="AX12" s="658" t="str">
        <f>CountryCode &amp; ".T1.B9.S1312.MNAC." &amp; RefVintage</f>
        <v>HU.T1.B9.S1312.MNAC.W.2019</v>
      </c>
    </row>
    <row r="13" spans="1:50">
      <c r="A13" s="296" t="s">
        <v>188</v>
      </c>
      <c r="B13" s="490" t="s">
        <v>886</v>
      </c>
      <c r="C13" s="301" t="s">
        <v>12</v>
      </c>
      <c r="D13" s="302" t="s">
        <v>13</v>
      </c>
      <c r="E13" s="88">
        <v>60581.035500000056</v>
      </c>
      <c r="F13" s="88">
        <v>102474.97255859978</v>
      </c>
      <c r="G13" s="88">
        <v>18290.081457999884</v>
      </c>
      <c r="H13" s="88">
        <v>-42372.707736677716</v>
      </c>
      <c r="I13" s="213">
        <v>-91570.776355000096</v>
      </c>
      <c r="J13" s="16"/>
      <c r="AA13" s="652"/>
      <c r="AX13" s="658" t="str">
        <f>CountryCode &amp; ".T1.B9.S1313.MNAC." &amp; RefVintage</f>
        <v>HU.T1.B9.S1313.MNAC.W.2019</v>
      </c>
    </row>
    <row r="14" spans="1:50">
      <c r="A14" s="296" t="s">
        <v>189</v>
      </c>
      <c r="B14" s="490" t="s">
        <v>887</v>
      </c>
      <c r="C14" s="301" t="s">
        <v>14</v>
      </c>
      <c r="D14" s="302" t="s">
        <v>15</v>
      </c>
      <c r="E14" s="88">
        <v>9198.4359999995577</v>
      </c>
      <c r="F14" s="88">
        <v>-26584.423517000338</v>
      </c>
      <c r="G14" s="88">
        <v>-23524.042337000254</v>
      </c>
      <c r="H14" s="88">
        <v>94052.827289000328</v>
      </c>
      <c r="I14" s="213">
        <v>-150433.27081264209</v>
      </c>
      <c r="J14" s="16"/>
      <c r="AA14" s="652"/>
      <c r="AX14" s="658" t="str">
        <f>CountryCode &amp; ".T1.B9.S1314.MNAC." &amp; RefVintage</f>
        <v>HU.T1.B9.S1314.MNAC.W.2019</v>
      </c>
    </row>
    <row r="15" spans="1:50" ht="16.5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449</v>
      </c>
      <c r="I16" s="210" t="s">
        <v>5</v>
      </c>
      <c r="J16" s="16"/>
      <c r="AA16" s="652"/>
    </row>
    <row r="17" spans="1:50" ht="16.5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1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HU.T1.DEBT_STATUS.S13.MNAC.W.2019</v>
      </c>
    </row>
    <row r="18" spans="1:50" ht="17.25" thickTop="1" thickBot="1">
      <c r="A18" s="296" t="s">
        <v>190</v>
      </c>
      <c r="B18" s="490" t="s">
        <v>888</v>
      </c>
      <c r="C18" s="308" t="s">
        <v>483</v>
      </c>
      <c r="D18" s="309"/>
      <c r="E18" s="260">
        <v>26366346</v>
      </c>
      <c r="F18" s="100">
        <v>26967177</v>
      </c>
      <c r="G18" s="100">
        <v>28158019</v>
      </c>
      <c r="H18" s="100">
        <v>29806589</v>
      </c>
      <c r="I18" s="215">
        <v>31431887.24273283</v>
      </c>
      <c r="J18" s="16"/>
      <c r="AA18" s="652"/>
      <c r="AX18" s="658" t="str">
        <f>CountryCode &amp; ".T1.DEBT.S13.MNAC." &amp; RefVintage</f>
        <v>HU.T1.DEBT.S13.MNAC.W.2019</v>
      </c>
    </row>
    <row r="19" spans="1:50" ht="16.5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>
      <c r="A20" s="296" t="s">
        <v>191</v>
      </c>
      <c r="B20" s="490" t="s">
        <v>889</v>
      </c>
      <c r="C20" s="312" t="s">
        <v>18</v>
      </c>
      <c r="D20" s="302" t="s">
        <v>19</v>
      </c>
      <c r="E20" s="103">
        <v>164762</v>
      </c>
      <c r="F20" s="103">
        <v>180782</v>
      </c>
      <c r="G20" s="103">
        <v>148085</v>
      </c>
      <c r="H20" s="103">
        <v>177671</v>
      </c>
      <c r="I20" s="217"/>
      <c r="J20" s="16"/>
      <c r="AA20" s="652"/>
      <c r="AX20" s="658" t="str">
        <f>CountryCode &amp; ".T1.AF2.S13.MNAC." &amp; RefVintage</f>
        <v>HU.T1.AF2.S13.MNAC.W.2019</v>
      </c>
    </row>
    <row r="21" spans="1:50">
      <c r="A21" s="313" t="s">
        <v>506</v>
      </c>
      <c r="B21" s="490" t="s">
        <v>890</v>
      </c>
      <c r="C21" s="312" t="s">
        <v>456</v>
      </c>
      <c r="D21" s="302" t="s">
        <v>457</v>
      </c>
      <c r="E21" s="104">
        <v>22204069</v>
      </c>
      <c r="F21" s="104">
        <v>23225407</v>
      </c>
      <c r="G21" s="104">
        <v>24849533</v>
      </c>
      <c r="H21" s="104">
        <v>26386623</v>
      </c>
      <c r="I21" s="216"/>
      <c r="J21" s="16"/>
      <c r="AA21" s="652"/>
      <c r="AX21" s="658" t="str">
        <f>CountryCode &amp; ".T1.AF3.S13.MNAC." &amp; RefVintage</f>
        <v>HU.T1.AF3.S13.MNAC.W.2019</v>
      </c>
    </row>
    <row r="22" spans="1:50">
      <c r="A22" s="313" t="s">
        <v>507</v>
      </c>
      <c r="B22" s="490" t="s">
        <v>891</v>
      </c>
      <c r="C22" s="314" t="s">
        <v>20</v>
      </c>
      <c r="D22" s="302" t="s">
        <v>467</v>
      </c>
      <c r="E22" s="105">
        <v>3019071</v>
      </c>
      <c r="F22" s="105">
        <v>4039412</v>
      </c>
      <c r="G22" s="105">
        <v>4683132</v>
      </c>
      <c r="H22" s="105">
        <v>4934604</v>
      </c>
      <c r="I22" s="217"/>
      <c r="J22" s="16"/>
      <c r="AA22" s="652"/>
      <c r="AX22" s="658" t="str">
        <f>CountryCode &amp; ".T1.AF31.S13.MNAC." &amp; RefVintage</f>
        <v>HU.T1.AF31.S13.MNAC.W.2019</v>
      </c>
    </row>
    <row r="23" spans="1:50">
      <c r="A23" s="313" t="s">
        <v>508</v>
      </c>
      <c r="B23" s="490" t="s">
        <v>892</v>
      </c>
      <c r="C23" s="315" t="s">
        <v>21</v>
      </c>
      <c r="D23" s="302" t="s">
        <v>468</v>
      </c>
      <c r="E23" s="104">
        <v>19184998</v>
      </c>
      <c r="F23" s="104">
        <v>19185995</v>
      </c>
      <c r="G23" s="104">
        <v>20166400.999999996</v>
      </c>
      <c r="H23" s="104">
        <v>21452019</v>
      </c>
      <c r="I23" s="217"/>
      <c r="J23" s="16"/>
      <c r="AA23" s="652"/>
      <c r="AX23" s="658" t="str">
        <f>CountryCode &amp; ".T1.AF32.S13.MNAC." &amp; RefVintage</f>
        <v>HU.T1.AF32.S13.MNAC.W.2019</v>
      </c>
    </row>
    <row r="24" spans="1:50">
      <c r="A24" s="296" t="s">
        <v>192</v>
      </c>
      <c r="B24" s="490" t="s">
        <v>893</v>
      </c>
      <c r="C24" s="312" t="s">
        <v>22</v>
      </c>
      <c r="D24" s="302" t="s">
        <v>23</v>
      </c>
      <c r="E24" s="104">
        <v>3997515.0000000005</v>
      </c>
      <c r="F24" s="104">
        <v>3560988.0000000005</v>
      </c>
      <c r="G24" s="104">
        <v>3160401</v>
      </c>
      <c r="H24" s="104">
        <v>3242295</v>
      </c>
      <c r="I24" s="216"/>
      <c r="J24" s="16"/>
      <c r="N24" s="207"/>
      <c r="AA24" s="652"/>
      <c r="AX24" s="658" t="str">
        <f>CountryCode &amp; ".T1.AF4.S13.MNAC." &amp; RefVintage</f>
        <v>HU.T1.AF4.S13.MNAC.W.2019</v>
      </c>
    </row>
    <row r="25" spans="1:50">
      <c r="A25" s="296" t="s">
        <v>193</v>
      </c>
      <c r="B25" s="490" t="s">
        <v>894</v>
      </c>
      <c r="C25" s="314" t="s">
        <v>20</v>
      </c>
      <c r="D25" s="302" t="s">
        <v>24</v>
      </c>
      <c r="E25" s="104">
        <v>814017</v>
      </c>
      <c r="F25" s="104">
        <v>780583</v>
      </c>
      <c r="G25" s="104">
        <v>325004</v>
      </c>
      <c r="H25" s="104">
        <v>257192.99999999997</v>
      </c>
      <c r="I25" s="217"/>
      <c r="J25" s="16"/>
      <c r="N25" s="207"/>
      <c r="AA25" s="652"/>
      <c r="AX25" s="658" t="str">
        <f>CountryCode &amp; ".T1.AF41.S13.MNAC." &amp; RefVintage</f>
        <v>HU.T1.AF41.S13.MNAC.W.2019</v>
      </c>
    </row>
    <row r="26" spans="1:50">
      <c r="A26" s="296" t="s">
        <v>194</v>
      </c>
      <c r="B26" s="490" t="s">
        <v>895</v>
      </c>
      <c r="C26" s="316" t="s">
        <v>21</v>
      </c>
      <c r="D26" s="302" t="s">
        <v>25</v>
      </c>
      <c r="E26" s="104">
        <v>3183498</v>
      </c>
      <c r="F26" s="103">
        <v>2780405</v>
      </c>
      <c r="G26" s="103">
        <v>2835397</v>
      </c>
      <c r="H26" s="103">
        <v>2985102</v>
      </c>
      <c r="I26" s="217"/>
      <c r="J26" s="16"/>
      <c r="AA26" s="652"/>
      <c r="AX26" s="658" t="str">
        <f>CountryCode &amp; ".T1.AF42.S13.MNAC." &amp; RefVintage</f>
        <v>HU.T1.AF42.S13.MNAC.W.2019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6.5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>
      <c r="A31" s="296" t="s">
        <v>195</v>
      </c>
      <c r="B31" s="490" t="s">
        <v>896</v>
      </c>
      <c r="C31" s="321" t="s">
        <v>26</v>
      </c>
      <c r="D31" s="302" t="s">
        <v>469</v>
      </c>
      <c r="E31" s="104">
        <v>2256867.3280000002</v>
      </c>
      <c r="F31" s="104">
        <v>1096855.060702</v>
      </c>
      <c r="G31" s="104">
        <v>1746908</v>
      </c>
      <c r="H31" s="104">
        <v>2439865.185169375</v>
      </c>
      <c r="I31" s="220">
        <v>3096000</v>
      </c>
      <c r="J31" s="16"/>
      <c r="AA31" s="652"/>
      <c r="AX31" s="658" t="str">
        <f>CountryCode &amp; ".T1.P51.S13.MNAC." &amp; RefVintage</f>
        <v>HU.T1.P51.S13.MNAC.W.2019</v>
      </c>
    </row>
    <row r="32" spans="1:50">
      <c r="A32" s="313" t="s">
        <v>484</v>
      </c>
      <c r="B32" s="490" t="s">
        <v>897</v>
      </c>
      <c r="C32" s="321" t="s">
        <v>27</v>
      </c>
      <c r="D32" s="302" t="s">
        <v>55</v>
      </c>
      <c r="E32" s="104">
        <v>1217632.8020000001</v>
      </c>
      <c r="F32" s="104">
        <v>1144117.6694120003</v>
      </c>
      <c r="G32" s="104">
        <v>1066449.7764840005</v>
      </c>
      <c r="H32" s="104">
        <v>1066182.4698000089</v>
      </c>
      <c r="I32" s="220">
        <v>1116295.2782653815</v>
      </c>
      <c r="J32" s="16"/>
      <c r="AA32" s="652"/>
      <c r="AX32" s="658" t="str">
        <f>CountryCode &amp; ".T1.ESAD41.S13.MNAC." &amp; RefVintage</f>
        <v>HU.T1.ESAD41.S13.MNAC.W.2019</v>
      </c>
    </row>
    <row r="33" spans="1:50" ht="16.5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5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7.25" thickTop="1" thickBot="1">
      <c r="A35" s="296" t="s">
        <v>196</v>
      </c>
      <c r="B35" s="490" t="s">
        <v>898</v>
      </c>
      <c r="C35" s="308" t="s">
        <v>28</v>
      </c>
      <c r="D35" s="326" t="s">
        <v>29</v>
      </c>
      <c r="E35" s="99">
        <v>34378594</v>
      </c>
      <c r="F35" s="100">
        <v>35474186</v>
      </c>
      <c r="G35" s="100">
        <v>38355115</v>
      </c>
      <c r="H35" s="100">
        <v>42072786</v>
      </c>
      <c r="I35" s="215">
        <v>45448400</v>
      </c>
      <c r="J35" s="16"/>
      <c r="AA35" s="652"/>
      <c r="AX35" s="658" t="str">
        <f>CountryCode &amp; ".T1.GDP.S1.MNAC." &amp; RefVintage</f>
        <v>HU.T1.GDP.S1.MNAC.W.2019</v>
      </c>
    </row>
    <row r="36" spans="1:50" ht="27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6.5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5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5"/>
      <c r="G41" s="695"/>
      <c r="H41" s="695"/>
      <c r="I41" s="695"/>
      <c r="J41" s="241"/>
      <c r="AA41" s="652"/>
    </row>
    <row r="42" spans="1:50" ht="15">
      <c r="A42" s="268"/>
      <c r="B42" s="269"/>
      <c r="C42" s="242" t="s">
        <v>123</v>
      </c>
      <c r="D42" s="243"/>
      <c r="E42" s="696"/>
      <c r="F42" s="696"/>
      <c r="G42" s="696"/>
      <c r="H42" s="696"/>
      <c r="I42" s="696"/>
      <c r="J42" s="244"/>
      <c r="AA42" s="652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-9.4587448984384537E-11</v>
      </c>
      <c r="F43" s="246">
        <f>IF(F10="M",0,F10)-IF(F11="M",0,F11)-IF(F12="M",0,F12)-IF(F13="M",0,F13)-IF(F14="M",0,F14)</f>
        <v>5.8207660913467407E-11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2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>
      <c r="D50" s="13"/>
      <c r="AA50" s="652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59"/>
    </row>
    <row r="249" spans="1:50" s="19" customFormat="1" ht="12.75">
      <c r="A249" s="20"/>
      <c r="B249" s="255"/>
      <c r="C249" s="38"/>
      <c r="I249" s="224"/>
      <c r="AX249" s="660"/>
    </row>
    <row r="250" spans="1:50" s="18" customFormat="1" ht="14.25">
      <c r="A250" s="20"/>
      <c r="B250" s="191"/>
      <c r="C250" s="37"/>
      <c r="I250" s="223"/>
      <c r="AX250" s="659"/>
    </row>
    <row r="251" spans="1:50" s="18" customFormat="1" ht="14.25">
      <c r="A251" s="20"/>
      <c r="B251" s="191"/>
      <c r="C251" s="37"/>
      <c r="I251" s="223"/>
      <c r="AX251" s="659"/>
    </row>
    <row r="252" spans="1:50" s="18" customFormat="1" ht="14.25">
      <c r="A252" s="20"/>
      <c r="B252" s="191"/>
      <c r="C252" s="37"/>
      <c r="I252" s="223"/>
      <c r="AX252" s="659"/>
    </row>
    <row r="253" spans="1:50" s="18" customFormat="1" ht="14.25">
      <c r="A253" s="20"/>
      <c r="B253" s="191"/>
      <c r="C253" s="37"/>
      <c r="I253" s="223"/>
      <c r="AX253" s="659"/>
    </row>
    <row r="254" spans="1:50" s="18" customFormat="1" ht="14.25">
      <c r="A254" s="20"/>
      <c r="B254" s="191"/>
      <c r="C254" s="37"/>
      <c r="I254" s="223"/>
      <c r="AX254" s="659"/>
    </row>
    <row r="255" spans="1:50" s="18" customFormat="1" ht="14.25">
      <c r="A255" s="20"/>
      <c r="B255" s="191"/>
      <c r="C255" s="37"/>
      <c r="I255" s="223"/>
      <c r="AX255" s="659"/>
    </row>
    <row r="256" spans="1:50" s="18" customFormat="1" ht="14.25">
      <c r="A256" s="20"/>
      <c r="B256" s="191"/>
      <c r="C256" s="37"/>
      <c r="I256" s="223"/>
      <c r="AX256" s="659"/>
    </row>
    <row r="257" spans="1:50" s="18" customFormat="1" ht="14.25">
      <c r="A257" s="20"/>
      <c r="B257" s="191"/>
      <c r="C257" s="37"/>
      <c r="I257" s="223"/>
      <c r="AX257" s="659"/>
    </row>
    <row r="258" spans="1:50" s="18" customFormat="1" ht="14.25">
      <c r="A258" s="20"/>
      <c r="B258" s="191"/>
      <c r="C258" s="37"/>
      <c r="I258" s="223"/>
      <c r="AX258" s="659"/>
    </row>
    <row r="259" spans="1:50" s="18" customFormat="1" ht="14.25">
      <c r="A259" s="20"/>
      <c r="B259" s="191"/>
      <c r="C259" s="37"/>
      <c r="I259" s="223"/>
      <c r="AX259" s="659"/>
    </row>
    <row r="260" spans="1:50" s="18" customFormat="1" ht="14.25">
      <c r="A260" s="20"/>
      <c r="B260" s="191"/>
      <c r="C260" s="37"/>
      <c r="I260" s="223"/>
      <c r="AX260" s="659"/>
    </row>
    <row r="261" spans="1:50" s="18" customFormat="1" ht="14.25">
      <c r="A261" s="20"/>
      <c r="B261" s="191"/>
      <c r="C261" s="37"/>
      <c r="I261" s="223"/>
      <c r="AX261" s="659"/>
    </row>
    <row r="262" spans="1:50" s="18" customFormat="1" ht="14.25">
      <c r="A262" s="20"/>
      <c r="B262" s="191"/>
      <c r="C262" s="37"/>
      <c r="I262" s="223"/>
      <c r="AX262" s="659"/>
    </row>
    <row r="263" spans="1:50" s="18" customFormat="1" ht="14.25">
      <c r="A263" s="20"/>
      <c r="B263" s="191"/>
      <c r="C263" s="37"/>
      <c r="I263" s="223"/>
      <c r="AX263" s="659"/>
    </row>
    <row r="264" spans="1:50" s="18" customFormat="1" ht="14.25">
      <c r="A264" s="20"/>
      <c r="B264" s="191"/>
      <c r="C264" s="37"/>
      <c r="I264" s="223"/>
      <c r="AX264" s="659"/>
    </row>
    <row r="265" spans="1:50" s="18" customFormat="1" ht="14.25">
      <c r="A265" s="20"/>
      <c r="B265" s="191"/>
      <c r="C265" s="37"/>
      <c r="I265" s="223"/>
      <c r="AX265" s="659"/>
    </row>
    <row r="266" spans="1:50" s="18" customFormat="1" ht="14.25">
      <c r="A266" s="20"/>
      <c r="B266" s="191"/>
      <c r="C266" s="37"/>
      <c r="I266" s="223"/>
      <c r="AX266" s="659"/>
    </row>
    <row r="267" spans="1:50" s="18" customFormat="1" ht="14.25">
      <c r="A267" s="20"/>
      <c r="B267" s="191"/>
      <c r="C267" s="37"/>
      <c r="I267" s="223"/>
      <c r="AX267" s="659"/>
    </row>
    <row r="268" spans="1:50" s="18" customFormat="1" ht="14.25">
      <c r="A268" s="20"/>
      <c r="B268" s="191"/>
      <c r="C268" s="37"/>
      <c r="I268" s="223"/>
      <c r="AX268" s="659"/>
    </row>
    <row r="269" spans="1:50" s="18" customFormat="1" ht="14.25">
      <c r="A269" s="20"/>
      <c r="B269" s="191"/>
      <c r="C269" s="37"/>
      <c r="I269" s="223"/>
      <c r="AX269" s="659"/>
    </row>
    <row r="270" spans="1:50" s="18" customFormat="1" ht="14.25">
      <c r="A270" s="20"/>
      <c r="B270" s="191"/>
      <c r="C270" s="37"/>
      <c r="I270" s="223"/>
      <c r="AX270" s="659"/>
    </row>
    <row r="271" spans="1:50" s="18" customFormat="1" ht="14.25">
      <c r="A271" s="20"/>
      <c r="B271" s="191"/>
      <c r="C271" s="37"/>
      <c r="I271" s="223"/>
      <c r="AX271" s="659"/>
    </row>
    <row r="272" spans="1:50" s="18" customFormat="1" ht="14.25">
      <c r="A272" s="20"/>
      <c r="B272" s="191"/>
      <c r="C272" s="37"/>
      <c r="I272" s="223"/>
      <c r="AX272" s="659"/>
    </row>
    <row r="273" spans="1:50" s="18" customFormat="1" ht="14.25">
      <c r="A273" s="20"/>
      <c r="B273" s="191"/>
      <c r="C273" s="37"/>
      <c r="I273" s="223"/>
      <c r="AX273" s="659"/>
    </row>
    <row r="274" spans="1:50" s="18" customFormat="1" ht="14.25">
      <c r="A274" s="20"/>
      <c r="B274" s="191"/>
      <c r="C274" s="37"/>
      <c r="I274" s="223"/>
      <c r="AX274" s="659"/>
    </row>
    <row r="275" spans="1:50" s="18" customFormat="1" ht="14.25">
      <c r="A275" s="20"/>
      <c r="B275" s="191"/>
      <c r="C275" s="37"/>
      <c r="I275" s="223"/>
      <c r="AX275" s="659"/>
    </row>
    <row r="276" spans="1:50" s="18" customFormat="1" ht="14.25">
      <c r="A276" s="20"/>
      <c r="B276" s="191"/>
      <c r="C276" s="37"/>
      <c r="I276" s="223"/>
      <c r="AX276" s="659"/>
    </row>
    <row r="277" spans="1:50" s="18" customFormat="1" ht="14.25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59"/>
    </row>
    <row r="303" spans="1:50" s="19" customFormat="1" ht="12.75">
      <c r="A303" s="20"/>
      <c r="B303" s="255"/>
      <c r="C303" s="38"/>
      <c r="I303" s="224"/>
      <c r="AX303" s="660"/>
    </row>
    <row r="304" spans="1:50" s="18" customFormat="1" ht="14.25">
      <c r="A304" s="20"/>
      <c r="B304" s="191"/>
      <c r="C304" s="37"/>
      <c r="I304" s="223"/>
      <c r="AX304" s="659"/>
    </row>
    <row r="305" spans="1:50" s="18" customFormat="1" ht="14.25">
      <c r="A305" s="20"/>
      <c r="B305" s="191"/>
      <c r="C305" s="37"/>
      <c r="I305" s="223"/>
      <c r="AX305" s="659"/>
    </row>
    <row r="306" spans="1:50" s="18" customFormat="1" ht="14.25">
      <c r="A306" s="20"/>
      <c r="B306" s="191"/>
      <c r="C306" s="37"/>
      <c r="I306" s="223"/>
      <c r="AX306" s="659"/>
    </row>
    <row r="307" spans="1:50" s="18" customFormat="1" ht="14.25">
      <c r="A307" s="20"/>
      <c r="B307" s="191"/>
      <c r="C307" s="37"/>
      <c r="I307" s="223"/>
      <c r="AX307" s="659"/>
    </row>
    <row r="308" spans="1:50" s="18" customFormat="1" ht="14.25">
      <c r="A308" s="20"/>
      <c r="B308" s="191"/>
      <c r="C308" s="37"/>
      <c r="I308" s="223"/>
      <c r="AX308" s="659"/>
    </row>
    <row r="309" spans="1:50" s="18" customFormat="1" ht="14.25">
      <c r="A309" s="20"/>
      <c r="B309" s="191"/>
      <c r="C309" s="37"/>
      <c r="I309" s="223"/>
      <c r="AX309" s="659"/>
    </row>
    <row r="310" spans="1:50" s="18" customFormat="1" ht="14.25">
      <c r="A310" s="20"/>
      <c r="B310" s="191"/>
      <c r="C310" s="37"/>
      <c r="I310" s="223"/>
      <c r="AX310" s="659"/>
    </row>
    <row r="311" spans="1:50" s="18" customFormat="1" ht="14.25">
      <c r="A311" s="20"/>
      <c r="B311" s="191"/>
      <c r="C311" s="37"/>
      <c r="I311" s="223"/>
      <c r="AX311" s="659"/>
    </row>
    <row r="312" spans="1:50" s="18" customFormat="1" ht="14.25">
      <c r="A312" s="20"/>
      <c r="B312" s="191"/>
      <c r="C312" s="37"/>
      <c r="I312" s="223"/>
      <c r="AX312" s="659"/>
    </row>
    <row r="313" spans="1:50" s="18" customFormat="1" ht="14.25">
      <c r="A313" s="20"/>
      <c r="B313" s="191"/>
      <c r="C313" s="37"/>
      <c r="I313" s="223"/>
      <c r="AX313" s="659"/>
    </row>
    <row r="314" spans="1:50" s="18" customFormat="1" ht="14.25">
      <c r="A314" s="20"/>
      <c r="B314" s="191"/>
      <c r="C314" s="37"/>
      <c r="I314" s="223"/>
      <c r="AX314" s="659"/>
    </row>
    <row r="315" spans="1:50" s="18" customFormat="1" ht="14.25">
      <c r="A315" s="20"/>
      <c r="B315" s="191"/>
      <c r="C315" s="37"/>
      <c r="I315" s="223"/>
      <c r="AX315" s="659"/>
    </row>
    <row r="316" spans="1:50" s="18" customFormat="1" ht="14.25">
      <c r="A316" s="20"/>
      <c r="B316" s="191"/>
      <c r="C316" s="37"/>
      <c r="I316" s="223"/>
      <c r="AX316" s="659"/>
    </row>
    <row r="317" spans="1:50" s="18" customFormat="1" ht="14.25">
      <c r="A317" s="20"/>
      <c r="B317" s="191"/>
      <c r="C317" s="37"/>
      <c r="I317" s="223"/>
      <c r="AX317" s="659"/>
    </row>
    <row r="318" spans="1:50" s="18" customFormat="1" ht="14.25">
      <c r="A318" s="20"/>
      <c r="B318" s="191"/>
      <c r="C318" s="37"/>
      <c r="I318" s="223"/>
      <c r="AX318" s="659"/>
    </row>
    <row r="319" spans="1:50" s="18" customFormat="1" ht="14.25">
      <c r="A319" s="20"/>
      <c r="B319" s="191"/>
      <c r="C319" s="37"/>
      <c r="I319" s="223"/>
      <c r="AX319" s="659"/>
    </row>
    <row r="320" spans="1:50" s="18" customFormat="1" ht="14.25">
      <c r="A320" s="20"/>
      <c r="B320" s="191"/>
      <c r="C320" s="37"/>
      <c r="I320" s="223"/>
      <c r="AX320" s="659"/>
    </row>
    <row r="321" spans="1:50" s="18" customFormat="1" ht="14.25">
      <c r="A321" s="20"/>
      <c r="B321" s="191"/>
      <c r="C321" s="37"/>
      <c r="I321" s="223"/>
      <c r="AX321" s="659"/>
    </row>
    <row r="322" spans="1:50" s="18" customFormat="1" ht="14.25">
      <c r="A322" s="20"/>
      <c r="B322" s="191"/>
      <c r="C322" s="37"/>
      <c r="I322" s="223"/>
      <c r="AX322" s="659"/>
    </row>
    <row r="323" spans="1:50" s="18" customFormat="1" ht="14.25">
      <c r="A323" s="20"/>
      <c r="B323" s="191"/>
      <c r="C323" s="37"/>
      <c r="I323" s="223"/>
      <c r="AX323" s="659"/>
    </row>
    <row r="324" spans="1:50" s="18" customFormat="1" ht="14.25">
      <c r="A324" s="20"/>
      <c r="B324" s="191"/>
      <c r="C324" s="37"/>
      <c r="I324" s="223"/>
      <c r="AX324" s="659"/>
    </row>
    <row r="325" spans="1:50" s="18" customFormat="1" ht="14.25">
      <c r="A325" s="20"/>
      <c r="B325" s="191"/>
      <c r="C325" s="37"/>
      <c r="I325" s="223"/>
      <c r="AX325" s="659"/>
    </row>
    <row r="326" spans="1:50" s="18" customFormat="1" ht="14.25">
      <c r="A326" s="20"/>
      <c r="B326" s="191"/>
      <c r="C326" s="37"/>
      <c r="I326" s="223"/>
      <c r="AX326" s="659"/>
    </row>
    <row r="327" spans="1:50" s="18" customFormat="1" ht="14.25">
      <c r="A327" s="20"/>
      <c r="B327" s="191"/>
      <c r="C327" s="37"/>
      <c r="I327" s="223"/>
      <c r="AX327" s="659"/>
    </row>
    <row r="328" spans="1:50" s="18" customFormat="1" ht="14.25">
      <c r="A328" s="20"/>
      <c r="B328" s="191"/>
      <c r="C328" s="37"/>
      <c r="I328" s="223"/>
      <c r="AX328" s="659"/>
    </row>
    <row r="329" spans="1:50" s="18" customFormat="1" ht="14.25">
      <c r="A329" s="20"/>
      <c r="B329" s="191"/>
      <c r="C329" s="37"/>
      <c r="I329" s="223"/>
      <c r="AX329" s="659"/>
    </row>
    <row r="330" spans="1:50" s="18" customFormat="1" ht="14.25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59"/>
    </row>
    <row r="358" spans="1:50" s="19" customFormat="1" ht="12.75">
      <c r="A358" s="20"/>
      <c r="B358" s="255"/>
      <c r="C358" s="38"/>
      <c r="I358" s="224"/>
      <c r="AX358" s="660"/>
    </row>
    <row r="359" spans="1:50" s="18" customFormat="1" ht="14.25">
      <c r="A359" s="20"/>
      <c r="B359" s="191"/>
      <c r="C359" s="37"/>
      <c r="I359" s="223"/>
      <c r="AX359" s="659"/>
    </row>
    <row r="360" spans="1:50" s="18" customFormat="1" ht="14.25">
      <c r="A360" s="20"/>
      <c r="B360" s="191"/>
      <c r="C360" s="37"/>
      <c r="I360" s="223"/>
      <c r="AX360" s="659"/>
    </row>
    <row r="361" spans="1:50" s="18" customFormat="1" ht="14.25">
      <c r="A361" s="20"/>
      <c r="B361" s="191"/>
      <c r="C361" s="37"/>
      <c r="I361" s="223"/>
      <c r="AX361" s="659"/>
    </row>
    <row r="362" spans="1:50" s="18" customFormat="1" ht="14.25">
      <c r="A362" s="20"/>
      <c r="B362" s="191"/>
      <c r="C362" s="37"/>
      <c r="I362" s="223"/>
      <c r="AX362" s="659"/>
    </row>
    <row r="363" spans="1:50" s="18" customFormat="1" ht="14.25">
      <c r="A363" s="20"/>
      <c r="B363" s="191"/>
      <c r="C363" s="37"/>
      <c r="I363" s="223"/>
      <c r="AX363" s="659"/>
    </row>
    <row r="364" spans="1:50" s="18" customFormat="1" ht="14.25">
      <c r="A364" s="20"/>
      <c r="B364" s="191"/>
      <c r="C364" s="37"/>
      <c r="I364" s="223"/>
      <c r="AX364" s="659"/>
    </row>
    <row r="365" spans="1:50" s="18" customFormat="1" ht="14.25">
      <c r="A365" s="20"/>
      <c r="B365" s="191"/>
      <c r="C365" s="37"/>
      <c r="I365" s="223"/>
      <c r="AX365" s="659"/>
    </row>
    <row r="366" spans="1:50" s="18" customFormat="1" ht="14.25">
      <c r="A366" s="20"/>
      <c r="B366" s="191"/>
      <c r="C366" s="37"/>
      <c r="I366" s="223"/>
      <c r="AX366" s="659"/>
    </row>
    <row r="367" spans="1:50" s="18" customFormat="1" ht="14.25">
      <c r="A367" s="20"/>
      <c r="B367" s="191"/>
      <c r="C367" s="37"/>
      <c r="I367" s="223"/>
      <c r="AX367" s="659"/>
    </row>
    <row r="368" spans="1:50" s="18" customFormat="1" ht="14.25">
      <c r="A368" s="20"/>
      <c r="B368" s="191"/>
      <c r="C368" s="37"/>
      <c r="I368" s="223"/>
      <c r="AX368" s="659"/>
    </row>
    <row r="369" spans="1:50" s="18" customFormat="1" ht="14.25">
      <c r="A369" s="20"/>
      <c r="B369" s="191"/>
      <c r="C369" s="37"/>
      <c r="I369" s="223"/>
      <c r="AX369" s="659"/>
    </row>
    <row r="370" spans="1:50" s="18" customFormat="1" ht="14.25">
      <c r="A370" s="20"/>
      <c r="B370" s="191"/>
      <c r="C370" s="37"/>
      <c r="I370" s="223"/>
      <c r="AX370" s="659"/>
    </row>
    <row r="371" spans="1:50" s="18" customFormat="1" ht="14.25">
      <c r="A371" s="20"/>
      <c r="B371" s="191"/>
      <c r="C371" s="37"/>
      <c r="I371" s="223"/>
      <c r="AX371" s="659"/>
    </row>
    <row r="372" spans="1:50" s="18" customFormat="1" ht="14.25">
      <c r="A372" s="20"/>
      <c r="B372" s="191"/>
      <c r="C372" s="37"/>
      <c r="I372" s="223"/>
      <c r="AX372" s="659"/>
    </row>
    <row r="373" spans="1:50" s="18" customFormat="1" ht="14.25">
      <c r="A373" s="20"/>
      <c r="B373" s="191"/>
      <c r="C373" s="37"/>
      <c r="I373" s="223"/>
      <c r="AX373" s="659"/>
    </row>
    <row r="374" spans="1:50" s="18" customFormat="1" ht="14.25">
      <c r="A374" s="20"/>
      <c r="B374" s="191"/>
      <c r="C374" s="37"/>
      <c r="I374" s="223"/>
      <c r="AX374" s="659"/>
    </row>
    <row r="375" spans="1:50" s="18" customFormat="1" ht="14.25">
      <c r="A375" s="20"/>
      <c r="B375" s="191"/>
      <c r="C375" s="37"/>
      <c r="I375" s="223"/>
      <c r="AX375" s="659"/>
    </row>
    <row r="376" spans="1:50" s="18" customFormat="1" ht="14.25">
      <c r="A376" s="20"/>
      <c r="B376" s="191"/>
      <c r="C376" s="37"/>
      <c r="I376" s="223"/>
      <c r="AX376" s="659"/>
    </row>
    <row r="377" spans="1:50" s="18" customFormat="1" ht="14.25">
      <c r="A377" s="20"/>
      <c r="B377" s="191"/>
      <c r="C377" s="37"/>
      <c r="I377" s="223"/>
      <c r="AX377" s="659"/>
    </row>
    <row r="378" spans="1:50" s="18" customFormat="1" ht="14.25">
      <c r="A378" s="20"/>
      <c r="B378" s="191"/>
      <c r="C378" s="37"/>
      <c r="I378" s="223"/>
      <c r="AX378" s="659"/>
    </row>
    <row r="379" spans="1:50" s="18" customFormat="1" ht="14.25">
      <c r="A379" s="20"/>
      <c r="B379" s="191"/>
      <c r="C379" s="37"/>
      <c r="I379" s="223"/>
      <c r="AX379" s="659"/>
    </row>
    <row r="380" spans="1:50" s="18" customFormat="1" ht="14.25">
      <c r="A380" s="20"/>
      <c r="B380" s="191"/>
      <c r="C380" s="37"/>
      <c r="I380" s="223"/>
      <c r="AX380" s="659"/>
    </row>
    <row r="381" spans="1:50" s="18" customFormat="1" ht="14.25">
      <c r="A381" s="20"/>
      <c r="B381" s="191"/>
      <c r="C381" s="37"/>
      <c r="I381" s="223"/>
      <c r="AX381" s="659"/>
    </row>
    <row r="382" spans="1:50" s="18" customFormat="1" ht="14.25">
      <c r="A382" s="20"/>
      <c r="B382" s="191"/>
      <c r="C382" s="37"/>
      <c r="I382" s="223"/>
      <c r="AX382" s="659"/>
    </row>
    <row r="383" spans="1:50" s="18" customFormat="1" ht="14.25">
      <c r="A383" s="20"/>
      <c r="B383" s="191"/>
      <c r="C383" s="37"/>
      <c r="I383" s="223"/>
      <c r="AX383" s="659"/>
    </row>
    <row r="384" spans="1:50" s="18" customFormat="1" ht="14.25">
      <c r="A384" s="20"/>
      <c r="B384" s="191"/>
      <c r="C384" s="37"/>
      <c r="I384" s="223"/>
      <c r="AX384" s="659"/>
    </row>
    <row r="385" spans="1:50" s="18" customFormat="1" ht="14.25">
      <c r="A385" s="20"/>
      <c r="B385" s="191"/>
      <c r="C385" s="37"/>
      <c r="I385" s="223"/>
      <c r="AX385" s="659"/>
    </row>
    <row r="386" spans="1:50" s="18" customFormat="1" ht="14.25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59"/>
    </row>
    <row r="412" spans="1:50" s="18" customFormat="1" ht="14.25">
      <c r="A412" s="20"/>
      <c r="B412" s="191"/>
      <c r="C412" s="37"/>
      <c r="I412" s="223"/>
      <c r="AX412" s="659"/>
    </row>
    <row r="413" spans="1:50" s="18" customFormat="1" ht="14.25">
      <c r="A413" s="20"/>
      <c r="B413" s="191"/>
      <c r="C413" s="37"/>
      <c r="I413" s="223"/>
      <c r="AX413" s="659"/>
    </row>
    <row r="414" spans="1:50" s="18" customFormat="1" ht="14.25">
      <c r="A414" s="20"/>
      <c r="B414" s="191"/>
      <c r="C414" s="37"/>
      <c r="I414" s="223"/>
      <c r="AX414" s="659"/>
    </row>
    <row r="415" spans="1:50" s="18" customFormat="1" ht="14.25">
      <c r="A415" s="20"/>
      <c r="B415" s="191"/>
      <c r="C415" s="37"/>
      <c r="I415" s="223"/>
      <c r="AX415" s="659"/>
    </row>
    <row r="416" spans="1:50" s="18" customFormat="1" ht="14.25">
      <c r="A416" s="20"/>
      <c r="B416" s="191"/>
      <c r="C416" s="37"/>
      <c r="I416" s="223"/>
      <c r="AX416" s="659"/>
    </row>
    <row r="417" spans="1:50" s="18" customFormat="1" ht="14.25">
      <c r="A417" s="20"/>
      <c r="B417" s="191"/>
      <c r="C417" s="37"/>
      <c r="I417" s="223"/>
      <c r="AX417" s="659"/>
    </row>
    <row r="418" spans="1:50" s="18" customFormat="1" ht="14.25">
      <c r="A418" s="20"/>
      <c r="B418" s="191"/>
      <c r="C418" s="37"/>
      <c r="I418" s="223"/>
      <c r="AX418" s="659"/>
    </row>
    <row r="419" spans="1:50" s="18" customFormat="1" ht="14.25">
      <c r="A419" s="20"/>
      <c r="B419" s="191"/>
      <c r="C419" s="37"/>
      <c r="I419" s="223"/>
      <c r="AX419" s="659"/>
    </row>
    <row r="420" spans="1:50" s="18" customFormat="1" ht="14.25">
      <c r="A420" s="20"/>
      <c r="B420" s="191"/>
      <c r="C420" s="37"/>
      <c r="I420" s="223"/>
      <c r="AX420" s="659"/>
    </row>
    <row r="421" spans="1:50" s="18" customFormat="1" ht="14.25">
      <c r="A421" s="20"/>
      <c r="B421" s="191"/>
      <c r="C421" s="37"/>
      <c r="I421" s="223"/>
      <c r="AX421" s="659"/>
    </row>
    <row r="422" spans="1:50" s="18" customFormat="1" ht="14.25">
      <c r="A422" s="20"/>
      <c r="B422" s="191"/>
      <c r="C422" s="37"/>
      <c r="I422" s="223"/>
      <c r="AX422" s="659"/>
    </row>
    <row r="423" spans="1:50" s="18" customFormat="1" ht="14.25">
      <c r="A423" s="20"/>
      <c r="B423" s="191"/>
      <c r="C423" s="37"/>
      <c r="I423" s="223"/>
      <c r="AX423" s="659"/>
    </row>
    <row r="424" spans="1:50" s="18" customFormat="1" ht="14.25">
      <c r="A424" s="20"/>
      <c r="B424" s="191"/>
      <c r="C424" s="37"/>
      <c r="I424" s="223"/>
      <c r="AX424" s="659"/>
    </row>
    <row r="425" spans="1:50" s="18" customFormat="1" ht="14.25">
      <c r="A425" s="20"/>
      <c r="B425" s="191"/>
      <c r="C425" s="37"/>
      <c r="I425" s="223"/>
      <c r="AX425" s="659"/>
    </row>
    <row r="426" spans="1:50" s="18" customFormat="1" ht="14.25">
      <c r="A426" s="20"/>
      <c r="B426" s="191"/>
      <c r="C426" s="37"/>
      <c r="I426" s="223"/>
      <c r="AX426" s="659"/>
    </row>
    <row r="427" spans="1:50" s="18" customFormat="1" ht="14.25">
      <c r="A427" s="20"/>
      <c r="B427" s="191"/>
      <c r="C427" s="37"/>
      <c r="I427" s="223"/>
      <c r="AX427" s="659"/>
    </row>
    <row r="428" spans="1:50" s="18" customFormat="1" ht="14.25">
      <c r="A428" s="20"/>
      <c r="B428" s="191"/>
      <c r="C428" s="37"/>
      <c r="I428" s="223"/>
      <c r="AX428" s="659"/>
    </row>
    <row r="429" spans="1:50" s="18" customFormat="1" ht="14.25">
      <c r="A429" s="20"/>
      <c r="B429" s="191"/>
      <c r="C429" s="37"/>
      <c r="I429" s="223"/>
      <c r="AX429" s="659"/>
    </row>
    <row r="430" spans="1:50" s="18" customFormat="1" ht="14.25">
      <c r="A430" s="20"/>
      <c r="B430" s="191"/>
      <c r="C430" s="37"/>
      <c r="I430" s="223"/>
      <c r="AX430" s="659"/>
    </row>
    <row r="431" spans="1:50" s="18" customFormat="1" ht="14.25">
      <c r="A431" s="20"/>
      <c r="B431" s="191"/>
      <c r="C431" s="37"/>
      <c r="I431" s="223"/>
      <c r="AX431" s="659"/>
    </row>
    <row r="432" spans="1:50" s="18" customFormat="1" ht="14.25">
      <c r="A432" s="20"/>
      <c r="B432" s="191"/>
      <c r="C432" s="37"/>
      <c r="I432" s="223"/>
      <c r="AX432" s="659"/>
    </row>
    <row r="433" spans="1:50" s="18" customFormat="1" ht="14.25">
      <c r="A433" s="20"/>
      <c r="B433" s="191"/>
      <c r="C433" s="37"/>
      <c r="I433" s="223"/>
      <c r="AX433" s="659"/>
    </row>
    <row r="434" spans="1:50" s="18" customFormat="1" ht="14.25">
      <c r="A434" s="20"/>
      <c r="B434" s="191"/>
      <c r="C434" s="37"/>
      <c r="I434" s="223"/>
      <c r="AX434" s="659"/>
    </row>
    <row r="435" spans="1:50" s="18" customFormat="1" ht="14.25">
      <c r="A435" s="20"/>
      <c r="B435" s="191"/>
      <c r="C435" s="37"/>
      <c r="I435" s="223"/>
      <c r="AX435" s="659"/>
    </row>
    <row r="436" spans="1:50" s="18" customFormat="1" ht="14.25">
      <c r="A436" s="20"/>
      <c r="B436" s="191"/>
      <c r="C436" s="37"/>
      <c r="I436" s="223"/>
      <c r="AX436" s="659"/>
    </row>
    <row r="437" spans="1:50" s="18" customFormat="1" ht="14.25">
      <c r="A437" s="20"/>
      <c r="B437" s="191"/>
      <c r="C437" s="37"/>
      <c r="I437" s="223"/>
      <c r="AX437" s="659"/>
    </row>
    <row r="438" spans="1:50" s="18" customFormat="1" ht="14.25">
      <c r="A438" s="20"/>
      <c r="B438" s="191"/>
      <c r="C438" s="37"/>
      <c r="I438" s="223"/>
      <c r="AX438" s="659"/>
    </row>
    <row r="439" spans="1:50" s="18" customFormat="1" ht="14.25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35:I35 E31:I32 E20:H26 E18:I18 E10:I14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2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70.10937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1219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46"/>
      <c r="J5" s="45"/>
      <c r="O5" s="13"/>
    </row>
    <row r="6" spans="1:50">
      <c r="A6" s="282"/>
      <c r="B6" s="338"/>
      <c r="C6" s="286" t="str">
        <f>'Cover page'!E14</f>
        <v>Date: 29/03/2019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7.25" thickTop="1" thickBot="1">
      <c r="A8" s="340" t="s">
        <v>197</v>
      </c>
      <c r="B8" s="490" t="s">
        <v>899</v>
      </c>
      <c r="C8" s="368" t="s">
        <v>67</v>
      </c>
      <c r="D8" s="89">
        <v>-1211646.8999999999</v>
      </c>
      <c r="E8" s="90">
        <v>-748070.9</v>
      </c>
      <c r="F8" s="90">
        <v>-1690325.0000000009</v>
      </c>
      <c r="G8" s="90">
        <v>-1361212.3326019994</v>
      </c>
      <c r="H8" s="494">
        <v>-998514.59999999881</v>
      </c>
      <c r="I8" s="1"/>
      <c r="J8" s="51"/>
      <c r="O8" s="13"/>
      <c r="AX8" s="658" t="str">
        <f>CountryCode &amp; ".T2.WB.S1311.MNAC." &amp; RefVintage</f>
        <v>HU.T2.WB.S1311.MNAC.W.2019</v>
      </c>
    </row>
    <row r="9" spans="1:50" ht="16.5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452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12</v>
      </c>
      <c r="H10" s="676">
        <f>IFERROR(VLOOKUP(H9,StatusTable,2,FALSE), -1)</f>
        <v>10</v>
      </c>
      <c r="I10" s="135"/>
      <c r="J10" s="52"/>
      <c r="O10" s="13"/>
      <c r="AX10" s="658" t="str">
        <f>CountryCode &amp; ".T2.WB_STATUS.S1311.MNAC." &amp; RefVintage</f>
        <v>HU.T2.WB_STATUS.S1311.MNAC.W.2019</v>
      </c>
    </row>
    <row r="11" spans="1:50">
      <c r="A11" s="340" t="s">
        <v>198</v>
      </c>
      <c r="B11" s="490" t="s">
        <v>900</v>
      </c>
      <c r="C11" s="370" t="s">
        <v>92</v>
      </c>
      <c r="D11" s="136">
        <v>-151905.87906400001</v>
      </c>
      <c r="E11" s="136">
        <v>-39264.966140999997</v>
      </c>
      <c r="F11" s="136">
        <v>-1895.9690140000021</v>
      </c>
      <c r="G11" s="136">
        <v>8582.85671800001</v>
      </c>
      <c r="H11" s="136">
        <v>21772.534732832391</v>
      </c>
      <c r="I11" s="137"/>
      <c r="J11" s="52"/>
      <c r="O11" s="13"/>
      <c r="AX11" s="658" t="str">
        <f>CountryCode &amp; ".T2.FT.S1311.MNAC." &amp; RefVintage</f>
        <v>HU.T2.FT.S1311.MNAC.W.2019</v>
      </c>
    </row>
    <row r="12" spans="1:50">
      <c r="A12" s="340" t="s">
        <v>199</v>
      </c>
      <c r="B12" s="490" t="s">
        <v>901</v>
      </c>
      <c r="C12" s="371" t="s">
        <v>31</v>
      </c>
      <c r="D12" s="136">
        <v>20489.828000000001</v>
      </c>
      <c r="E12" s="136">
        <v>43434.789104000003</v>
      </c>
      <c r="F12" s="136">
        <v>139585.24151299999</v>
      </c>
      <c r="G12" s="136">
        <v>95285.607858000003</v>
      </c>
      <c r="H12" s="136">
        <v>25853.346372832377</v>
      </c>
      <c r="I12" s="137" t="s">
        <v>36</v>
      </c>
      <c r="J12" s="52"/>
      <c r="O12" s="13"/>
      <c r="AX12" s="658" t="str">
        <f>CountryCode &amp; ".T2.F4ACQ.S1311.MNAC." &amp; RefVintage</f>
        <v>HU.T2.F4ACQ.S1311.MNAC.W.2019</v>
      </c>
    </row>
    <row r="13" spans="1:50">
      <c r="A13" s="340" t="s">
        <v>200</v>
      </c>
      <c r="B13" s="490" t="s">
        <v>902</v>
      </c>
      <c r="C13" s="372" t="s">
        <v>32</v>
      </c>
      <c r="D13" s="136">
        <v>-10714.539999999999</v>
      </c>
      <c r="E13" s="136">
        <v>-10473.956533999999</v>
      </c>
      <c r="F13" s="136">
        <v>-13248.508934999998</v>
      </c>
      <c r="G13" s="136">
        <v>-9153.0113789999996</v>
      </c>
      <c r="H13" s="136">
        <v>-4279.6000000000004</v>
      </c>
      <c r="I13" s="137"/>
      <c r="J13" s="52"/>
      <c r="O13" s="13"/>
      <c r="AX13" s="658" t="str">
        <f>CountryCode &amp; ".T2.F4DIS.S1311.MNAC." &amp; RefVintage</f>
        <v>HU.T2.F4DIS.S1311.MNAC.W.2019</v>
      </c>
    </row>
    <row r="14" spans="1:50" ht="51.75">
      <c r="A14" s="340" t="s">
        <v>201</v>
      </c>
      <c r="B14" s="490" t="s">
        <v>903</v>
      </c>
      <c r="C14" s="372" t="s">
        <v>33</v>
      </c>
      <c r="D14" s="136">
        <v>18764.375</v>
      </c>
      <c r="E14" s="136">
        <v>52131.457461999998</v>
      </c>
      <c r="F14" s="136">
        <v>41849.862690999995</v>
      </c>
      <c r="G14" s="136">
        <v>27029.547575999997</v>
      </c>
      <c r="H14" s="136">
        <v>42444.9</v>
      </c>
      <c r="I14" s="684" t="s">
        <v>1306</v>
      </c>
      <c r="J14" s="52"/>
      <c r="O14" s="13"/>
      <c r="AX14" s="658" t="str">
        <f>CountryCode &amp; ".T2.F5ACQ.S1311.MNAC." &amp; RefVintage</f>
        <v>HU.T2.F5ACQ.S1311.MNAC.W.2019</v>
      </c>
    </row>
    <row r="15" spans="1:50">
      <c r="A15" s="340" t="s">
        <v>202</v>
      </c>
      <c r="B15" s="490" t="s">
        <v>904</v>
      </c>
      <c r="C15" s="373" t="s">
        <v>34</v>
      </c>
      <c r="D15" s="136">
        <v>-91628.894</v>
      </c>
      <c r="E15" s="136">
        <v>-7467.3348509999996</v>
      </c>
      <c r="F15" s="136">
        <v>-147.881362</v>
      </c>
      <c r="G15" s="136">
        <v>-4508.2574999999997</v>
      </c>
      <c r="H15" s="136">
        <v>-15</v>
      </c>
      <c r="I15" s="685" t="s">
        <v>1288</v>
      </c>
      <c r="J15" s="52"/>
      <c r="O15" s="13"/>
      <c r="AX15" s="658" t="str">
        <f>CountryCode &amp; ".T2.F5DIS.S1311.MNAC." &amp; RefVintage</f>
        <v>HU.T2.F5DIS.S1311.MNAC.W.2019</v>
      </c>
    </row>
    <row r="16" spans="1:50">
      <c r="A16" s="340" t="s">
        <v>203</v>
      </c>
      <c r="B16" s="490" t="s">
        <v>905</v>
      </c>
      <c r="C16" s="266" t="s">
        <v>35</v>
      </c>
      <c r="D16" s="264">
        <v>-88816.648064000008</v>
      </c>
      <c r="E16" s="264">
        <v>-116889.92132199999</v>
      </c>
      <c r="F16" s="264">
        <v>-169934.682921</v>
      </c>
      <c r="G16" s="264">
        <v>-100071.02983699999</v>
      </c>
      <c r="H16" s="264">
        <v>-42231.111639999988</v>
      </c>
      <c r="I16" s="137"/>
      <c r="J16" s="52"/>
      <c r="O16" s="13"/>
      <c r="AX16" s="658" t="str">
        <f>CountryCode &amp; ".T2.OFT.S1311.MNAC." &amp; RefVintage</f>
        <v>HU.T2.OFT.S1311.MNAC.W.2019</v>
      </c>
    </row>
    <row r="17" spans="1:50" ht="16.5" thickBot="1">
      <c r="A17" s="340" t="s">
        <v>204</v>
      </c>
      <c r="B17" s="490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HU.T2.OFTDL.S1311.MNAC.W.2019</v>
      </c>
    </row>
    <row r="18" spans="1:50" ht="16.5" thickBot="1">
      <c r="A18" s="341" t="s">
        <v>486</v>
      </c>
      <c r="B18" s="490" t="s">
        <v>907</v>
      </c>
      <c r="C18" s="265" t="s">
        <v>513</v>
      </c>
      <c r="D18" s="264">
        <v>-120341</v>
      </c>
      <c r="E18" s="264">
        <v>-119060</v>
      </c>
      <c r="F18" s="264">
        <v>-113887</v>
      </c>
      <c r="G18" s="264">
        <v>-85235</v>
      </c>
      <c r="H18" s="264">
        <v>-90587.711639999994</v>
      </c>
      <c r="I18" s="137"/>
      <c r="J18" s="52"/>
      <c r="O18" s="13"/>
      <c r="AX18" s="658" t="str">
        <f>CountryCode &amp; ".T2.F71K.S1311.MNAC." &amp; RefVintage</f>
        <v>HU.T2.F71K.S1311.MNAC.W.2019</v>
      </c>
    </row>
    <row r="19" spans="1:50">
      <c r="A19" s="176" t="s">
        <v>205</v>
      </c>
      <c r="B19" s="490" t="s">
        <v>908</v>
      </c>
      <c r="C19" s="146" t="s">
        <v>1236</v>
      </c>
      <c r="D19" s="138">
        <v>4849.8540000000003</v>
      </c>
      <c r="E19" s="138">
        <v>1805.6718469999998</v>
      </c>
      <c r="F19" s="138">
        <v>1685.2081520000065</v>
      </c>
      <c r="G19" s="138"/>
      <c r="H19" s="138"/>
      <c r="I19" s="139"/>
      <c r="J19" s="52"/>
      <c r="O19" s="13"/>
      <c r="AX19" s="658" t="str">
        <f>CountryCode &amp; ".T2.OFT1.S1311.MNAC." &amp; RefVintage</f>
        <v>HU.T2.OFT1.S1311.MNAC.W.2019</v>
      </c>
    </row>
    <row r="20" spans="1:50">
      <c r="A20" s="176" t="s">
        <v>206</v>
      </c>
      <c r="B20" s="490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HU.T2.OFT2.S1311.MNAC.W.2019</v>
      </c>
    </row>
    <row r="21" spans="1:50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0" t="s">
        <v>910</v>
      </c>
      <c r="C22" s="263" t="s">
        <v>121</v>
      </c>
      <c r="D22" s="264" t="s">
        <v>1235</v>
      </c>
      <c r="E22" s="264" t="s">
        <v>1235</v>
      </c>
      <c r="F22" s="264" t="s">
        <v>1235</v>
      </c>
      <c r="G22" s="264" t="s">
        <v>1235</v>
      </c>
      <c r="H22" s="264" t="s">
        <v>1235</v>
      </c>
      <c r="I22" s="137"/>
      <c r="J22" s="52"/>
      <c r="O22" s="13"/>
      <c r="AX22" s="658" t="str">
        <f>CountryCode &amp; ".T2.ONFT.S1311.MNAC." &amp; RefVintage</f>
        <v>HU.T2.ONFT.S1311.MNAC.W.2019</v>
      </c>
    </row>
    <row r="23" spans="1:50">
      <c r="A23" s="176" t="s">
        <v>208</v>
      </c>
      <c r="B23" s="490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HU.T2.ONFT1.S1311.MNAC.W.2019</v>
      </c>
    </row>
    <row r="24" spans="1:50">
      <c r="A24" s="176" t="s">
        <v>209</v>
      </c>
      <c r="B24" s="490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HU.T2.ONFT2.S1311.MNAC.W.2019</v>
      </c>
    </row>
    <row r="25" spans="1:50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0" t="s">
        <v>913</v>
      </c>
      <c r="C26" s="370" t="s">
        <v>470</v>
      </c>
      <c r="D26" s="136">
        <v>20121</v>
      </c>
      <c r="E26" s="136">
        <v>83603</v>
      </c>
      <c r="F26" s="136">
        <v>154737</v>
      </c>
      <c r="G26" s="136">
        <v>86106</v>
      </c>
      <c r="H26" s="136">
        <v>20229.024622277415</v>
      </c>
      <c r="I26" s="141"/>
      <c r="J26" s="52"/>
      <c r="O26" s="13"/>
      <c r="AX26" s="658" t="str">
        <f>CountryCode &amp; ".T2.D41DIF.S1311.MNAC." &amp; RefVintage</f>
        <v>HU.T2.D41DIF.S1311.MNAC.W.2019</v>
      </c>
    </row>
    <row r="27" spans="1:50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0" t="s">
        <v>914</v>
      </c>
      <c r="C28" s="263" t="s">
        <v>48</v>
      </c>
      <c r="D28" s="264">
        <v>825543.13100000005</v>
      </c>
      <c r="E28" s="264">
        <v>-234727.91262099985</v>
      </c>
      <c r="F28" s="264">
        <v>203158.42972099976</v>
      </c>
      <c r="G28" s="264">
        <v>120676.28209300006</v>
      </c>
      <c r="H28" s="264">
        <v>773790.39999999991</v>
      </c>
      <c r="I28" s="137"/>
      <c r="J28" s="52"/>
      <c r="O28" s="13"/>
      <c r="AX28" s="658" t="str">
        <f>CountryCode &amp; ".T2.F8ASS.S1311.MNAC." &amp; RefVintage</f>
        <v>HU.T2.F8ASS.S1311.MNAC.W.2019</v>
      </c>
    </row>
    <row r="29" spans="1:50">
      <c r="A29" s="176" t="s">
        <v>535</v>
      </c>
      <c r="B29" s="490" t="s">
        <v>915</v>
      </c>
      <c r="C29" s="146" t="s">
        <v>1237</v>
      </c>
      <c r="D29" s="138">
        <v>3046</v>
      </c>
      <c r="E29" s="138">
        <v>1659</v>
      </c>
      <c r="F29" s="138">
        <v>-379</v>
      </c>
      <c r="G29" s="138">
        <v>248</v>
      </c>
      <c r="H29" s="138">
        <v>3098.8999999999996</v>
      </c>
      <c r="I29" s="139"/>
      <c r="J29" s="52"/>
      <c r="O29" s="13"/>
      <c r="AX29" s="658" t="str">
        <f>CountryCode &amp; ".T2.F8ASS1.S1311.MNAC." &amp; RefVintage</f>
        <v>HU.T2.F8ASS1.S1311.MNAC.W.2019</v>
      </c>
    </row>
    <row r="30" spans="1:50">
      <c r="A30" s="176"/>
      <c r="B30" s="490" t="s">
        <v>916</v>
      </c>
      <c r="C30" s="146" t="s">
        <v>1238</v>
      </c>
      <c r="D30" s="138">
        <v>23406</v>
      </c>
      <c r="E30" s="138">
        <v>39714</v>
      </c>
      <c r="F30" s="138">
        <v>40013.642119999975</v>
      </c>
      <c r="G30" s="138">
        <v>61050.843968999994</v>
      </c>
      <c r="H30" s="138">
        <v>-2080.0999999999913</v>
      </c>
      <c r="I30" s="139"/>
      <c r="J30" s="52"/>
      <c r="O30" s="13"/>
    </row>
    <row r="31" spans="1:50">
      <c r="A31" s="176"/>
      <c r="B31" s="490" t="s">
        <v>1244</v>
      </c>
      <c r="C31" s="146" t="s">
        <v>1239</v>
      </c>
      <c r="D31" s="138">
        <v>28708</v>
      </c>
      <c r="E31" s="138">
        <v>27375</v>
      </c>
      <c r="F31" s="138">
        <v>26040</v>
      </c>
      <c r="G31" s="138">
        <v>26040</v>
      </c>
      <c r="H31" s="138">
        <v>-5958</v>
      </c>
      <c r="I31" s="139"/>
      <c r="J31" s="52"/>
      <c r="O31" s="13"/>
    </row>
    <row r="32" spans="1:50">
      <c r="A32" s="176"/>
      <c r="B32" s="490" t="s">
        <v>1245</v>
      </c>
      <c r="C32" s="146" t="s">
        <v>1240</v>
      </c>
      <c r="D32" s="138">
        <v>2386</v>
      </c>
      <c r="E32" s="138">
        <v>-51270.7</v>
      </c>
      <c r="F32" s="138">
        <v>32797.699999999997</v>
      </c>
      <c r="G32" s="138">
        <v>27100.5</v>
      </c>
      <c r="H32" s="138">
        <v>30500</v>
      </c>
      <c r="I32" s="686" t="s">
        <v>1289</v>
      </c>
      <c r="J32" s="52"/>
      <c r="O32" s="13"/>
    </row>
    <row r="33" spans="1:50">
      <c r="A33" s="176"/>
      <c r="B33" s="490" t="s">
        <v>1246</v>
      </c>
      <c r="C33" s="146" t="s">
        <v>1241</v>
      </c>
      <c r="D33" s="138">
        <v>887</v>
      </c>
      <c r="E33" s="138">
        <v>20423</v>
      </c>
      <c r="F33" s="138">
        <v>-17587</v>
      </c>
      <c r="G33" s="138">
        <v>1908.5</v>
      </c>
      <c r="H33" s="138">
        <v>-3740.7999999999993</v>
      </c>
      <c r="I33" s="139"/>
      <c r="J33" s="52"/>
      <c r="O33" s="13"/>
    </row>
    <row r="34" spans="1:50">
      <c r="A34" s="176"/>
      <c r="B34" s="490" t="s">
        <v>1247</v>
      </c>
      <c r="C34" s="146" t="s">
        <v>1242</v>
      </c>
      <c r="D34" s="138">
        <v>765318</v>
      </c>
      <c r="E34" s="138">
        <v>-275566</v>
      </c>
      <c r="F34" s="138">
        <v>112357.69289299997</v>
      </c>
      <c r="G34" s="138">
        <v>11990.600000000093</v>
      </c>
      <c r="H34" s="138">
        <v>751970.39999999991</v>
      </c>
      <c r="I34" s="139"/>
      <c r="J34" s="52"/>
      <c r="O34" s="13"/>
    </row>
    <row r="35" spans="1:50">
      <c r="A35" s="176" t="s">
        <v>536</v>
      </c>
      <c r="B35" s="490" t="s">
        <v>1248</v>
      </c>
      <c r="C35" s="146" t="s">
        <v>1243</v>
      </c>
      <c r="D35" s="138">
        <v>1792.1310000000522</v>
      </c>
      <c r="E35" s="138">
        <v>2937.7873790001563</v>
      </c>
      <c r="F35" s="138">
        <v>9915.3947079998088</v>
      </c>
      <c r="G35" s="138">
        <v>-7662.1618760000238</v>
      </c>
      <c r="H35" s="138">
        <v>0</v>
      </c>
      <c r="I35" s="686" t="s">
        <v>1290</v>
      </c>
      <c r="J35" s="52"/>
      <c r="O35" s="13"/>
      <c r="AX35" s="658" t="str">
        <f>CountryCode &amp; ".T2.F8ASS2.S1311.MNAC." &amp; RefVintage</f>
        <v>HU.T2.F8ASS2.S1311.MNAC.W.2019</v>
      </c>
    </row>
    <row r="36" spans="1:50">
      <c r="A36" s="340" t="s">
        <v>531</v>
      </c>
      <c r="B36" s="490" t="s">
        <v>917</v>
      </c>
      <c r="C36" s="263" t="s">
        <v>47</v>
      </c>
      <c r="D36" s="264">
        <v>12979</v>
      </c>
      <c r="E36" s="264">
        <v>129647</v>
      </c>
      <c r="F36" s="264">
        <v>448242.30293600005</v>
      </c>
      <c r="G36" s="264">
        <v>322951.20722100011</v>
      </c>
      <c r="H36" s="264">
        <v>-480587.3790424607</v>
      </c>
      <c r="I36" s="137"/>
      <c r="J36" s="52"/>
      <c r="O36" s="13"/>
      <c r="AX36" s="658" t="str">
        <f>CountryCode &amp; ".T2.F8LIA.S1311.MNAC." &amp; RefVintage</f>
        <v>HU.T2.F8LIA.S1311.MNAC.W.2019</v>
      </c>
    </row>
    <row r="37" spans="1:50">
      <c r="A37" s="176" t="s">
        <v>532</v>
      </c>
      <c r="B37" s="490" t="s">
        <v>918</v>
      </c>
      <c r="C37" s="146" t="s">
        <v>1257</v>
      </c>
      <c r="D37" s="138">
        <v>12374</v>
      </c>
      <c r="E37" s="138">
        <v>-14381</v>
      </c>
      <c r="F37" s="138">
        <v>-39368</v>
      </c>
      <c r="G37" s="138">
        <v>23680</v>
      </c>
      <c r="H37" s="138">
        <v>-7000</v>
      </c>
      <c r="I37" s="139"/>
      <c r="J37" s="52"/>
      <c r="O37" s="13"/>
      <c r="AX37" s="658" t="str">
        <f>CountryCode &amp; ".T2.F8LIA1.S1311.MNAC." &amp; RefVintage</f>
        <v>HU.T2.F8LIA1.S1311.MNAC.W.2019</v>
      </c>
    </row>
    <row r="38" spans="1:50">
      <c r="A38" s="176"/>
      <c r="B38" s="490" t="s">
        <v>919</v>
      </c>
      <c r="C38" s="146" t="s">
        <v>1258</v>
      </c>
      <c r="D38" s="138">
        <v>-15171</v>
      </c>
      <c r="E38" s="138">
        <v>-30002</v>
      </c>
      <c r="F38" s="138">
        <v>-19668</v>
      </c>
      <c r="G38" s="138">
        <v>-13532</v>
      </c>
      <c r="H38" s="138">
        <v>-13000</v>
      </c>
      <c r="I38" s="139"/>
      <c r="J38" s="52"/>
      <c r="O38" s="13"/>
    </row>
    <row r="39" spans="1:50">
      <c r="A39" s="176"/>
      <c r="B39" s="490" t="s">
        <v>1249</v>
      </c>
      <c r="C39" s="146" t="s">
        <v>1259</v>
      </c>
      <c r="D39" s="138">
        <v>-13889</v>
      </c>
      <c r="E39" s="138">
        <v>-12845</v>
      </c>
      <c r="F39" s="138">
        <v>56386</v>
      </c>
      <c r="G39" s="138">
        <v>118705</v>
      </c>
      <c r="H39" s="138">
        <v>-63700</v>
      </c>
      <c r="I39" s="139"/>
      <c r="J39" s="52"/>
      <c r="O39" s="13"/>
    </row>
    <row r="40" spans="1:50">
      <c r="A40" s="176"/>
      <c r="B40" s="490" t="s">
        <v>1250</v>
      </c>
      <c r="C40" s="146" t="s">
        <v>1260</v>
      </c>
      <c r="D40" s="138">
        <v>17575</v>
      </c>
      <c r="E40" s="138">
        <v>8270</v>
      </c>
      <c r="F40" s="138">
        <v>-244</v>
      </c>
      <c r="G40" s="138">
        <v>1269</v>
      </c>
      <c r="H40" s="138">
        <v>0</v>
      </c>
      <c r="I40" s="139"/>
      <c r="J40" s="52"/>
      <c r="O40" s="13"/>
    </row>
    <row r="41" spans="1:50">
      <c r="A41" s="176"/>
      <c r="B41" s="490" t="s">
        <v>1251</v>
      </c>
      <c r="C41" s="146" t="s">
        <v>1261</v>
      </c>
      <c r="D41" s="138">
        <v>26723</v>
      </c>
      <c r="E41" s="138">
        <v>15223</v>
      </c>
      <c r="F41" s="138">
        <v>22628.302936000051</v>
      </c>
      <c r="G41" s="138">
        <v>-42103.792778999879</v>
      </c>
      <c r="H41" s="138">
        <v>-5000</v>
      </c>
      <c r="I41" s="139"/>
      <c r="J41" s="52"/>
      <c r="O41" s="13"/>
    </row>
    <row r="42" spans="1:50">
      <c r="A42" s="176"/>
      <c r="B42" s="490" t="s">
        <v>1252</v>
      </c>
      <c r="C42" s="146" t="s">
        <v>1262</v>
      </c>
      <c r="D42" s="138">
        <v>-15154</v>
      </c>
      <c r="E42" s="138">
        <v>-6762</v>
      </c>
      <c r="F42" s="138">
        <v>-29269</v>
      </c>
      <c r="G42" s="138">
        <v>-33284</v>
      </c>
      <c r="H42" s="138">
        <v>-54253.579042460748</v>
      </c>
      <c r="I42" s="139"/>
      <c r="J42" s="52"/>
      <c r="O42" s="13"/>
    </row>
    <row r="43" spans="1:50">
      <c r="A43" s="176"/>
      <c r="B43" s="490" t="s">
        <v>1253</v>
      </c>
      <c r="C43" s="146" t="s">
        <v>1263</v>
      </c>
      <c r="D43" s="138"/>
      <c r="E43" s="138">
        <v>157966</v>
      </c>
      <c r="F43" s="138">
        <v>475823</v>
      </c>
      <c r="G43" s="138">
        <v>268695</v>
      </c>
      <c r="H43" s="138">
        <v>-274633.8</v>
      </c>
      <c r="I43" s="139"/>
      <c r="J43" s="52"/>
      <c r="O43" s="13"/>
    </row>
    <row r="44" spans="1:50">
      <c r="A44" s="176"/>
      <c r="B44" s="490" t="s">
        <v>1254</v>
      </c>
      <c r="C44" s="146" t="s">
        <v>1264</v>
      </c>
      <c r="D44" s="138"/>
      <c r="E44" s="138"/>
      <c r="F44" s="138">
        <v>-6880</v>
      </c>
      <c r="G44" s="138"/>
      <c r="H44" s="138">
        <v>0</v>
      </c>
      <c r="I44" s="139"/>
      <c r="J44" s="52"/>
      <c r="O44" s="13"/>
    </row>
    <row r="45" spans="1:50">
      <c r="A45" s="176"/>
      <c r="B45" s="490" t="s">
        <v>1255</v>
      </c>
      <c r="C45" s="146" t="s">
        <v>1265</v>
      </c>
      <c r="D45" s="138"/>
      <c r="E45" s="138">
        <v>11257</v>
      </c>
      <c r="F45" s="138">
        <v>-11257</v>
      </c>
      <c r="G45" s="138">
        <v>0</v>
      </c>
      <c r="H45" s="138"/>
      <c r="I45" s="139"/>
      <c r="J45" s="52"/>
      <c r="O45" s="13"/>
    </row>
    <row r="46" spans="1:50">
      <c r="A46" s="176" t="s">
        <v>533</v>
      </c>
      <c r="B46" s="490" t="s">
        <v>1256</v>
      </c>
      <c r="C46" s="146" t="s">
        <v>1266</v>
      </c>
      <c r="D46" s="138">
        <v>521</v>
      </c>
      <c r="E46" s="138">
        <v>921</v>
      </c>
      <c r="F46" s="138">
        <v>91</v>
      </c>
      <c r="G46" s="138">
        <v>-478</v>
      </c>
      <c r="H46" s="138">
        <v>-63000</v>
      </c>
      <c r="I46" s="687" t="s">
        <v>1305</v>
      </c>
      <c r="J46" s="52"/>
      <c r="O46" s="13"/>
      <c r="AX46" s="658" t="str">
        <f>CountryCode &amp; ".T2.F8LIA2.S1311.MNAC." &amp; RefVintage</f>
        <v>HU.T2.F8LIA2.S1311.MNAC.W.2019</v>
      </c>
    </row>
    <row r="47" spans="1:50">
      <c r="A47" s="342"/>
      <c r="B47" s="490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0" t="s">
        <v>920</v>
      </c>
      <c r="C48" s="263" t="s">
        <v>76</v>
      </c>
      <c r="D48" s="264" t="s">
        <v>1235</v>
      </c>
      <c r="E48" s="264" t="s">
        <v>1235</v>
      </c>
      <c r="F48" s="264" t="s">
        <v>1235</v>
      </c>
      <c r="G48" s="264" t="s">
        <v>1235</v>
      </c>
      <c r="H48" s="264" t="s">
        <v>1235</v>
      </c>
      <c r="I48" s="137"/>
      <c r="J48" s="52"/>
      <c r="O48" s="13"/>
      <c r="AX48" s="658" t="str">
        <f>CountryCode &amp; ".T2.B9_OWB.S1311.MNAC." &amp; RefVintage</f>
        <v>HU.T2.B9_OWB.S1311.MNAC.W.2019</v>
      </c>
    </row>
    <row r="49" spans="1:50">
      <c r="A49" s="340" t="s">
        <v>212</v>
      </c>
      <c r="B49" s="490" t="s">
        <v>921</v>
      </c>
      <c r="C49" s="263" t="s">
        <v>786</v>
      </c>
      <c r="D49" s="264">
        <v>-67475.460000000006</v>
      </c>
      <c r="E49" s="264">
        <v>199473.875</v>
      </c>
      <c r="F49" s="264">
        <v>148166</v>
      </c>
      <c r="G49" s="264">
        <v>-15645.179693609392</v>
      </c>
      <c r="H49" s="264">
        <v>82082.644855061139</v>
      </c>
      <c r="I49" s="137"/>
      <c r="J49" s="52"/>
      <c r="O49" s="13"/>
      <c r="AX49" s="658" t="str">
        <f>CountryCode &amp; ".T2.B9_OB.S1311.MNAC." &amp; RefVintage</f>
        <v>HU.T2.B9_OB.S1311.MNAC.W.2019</v>
      </c>
    </row>
    <row r="50" spans="1:50">
      <c r="A50" s="176" t="s">
        <v>213</v>
      </c>
      <c r="B50" s="490" t="s">
        <v>922</v>
      </c>
      <c r="C50" s="146" t="s">
        <v>1268</v>
      </c>
      <c r="D50" s="138">
        <v>0</v>
      </c>
      <c r="E50" s="138" t="s">
        <v>1235</v>
      </c>
      <c r="F50" s="138" t="s">
        <v>1235</v>
      </c>
      <c r="G50" s="138" t="s">
        <v>1235</v>
      </c>
      <c r="H50" s="138" t="s">
        <v>1235</v>
      </c>
      <c r="I50" s="687" t="s">
        <v>1271</v>
      </c>
      <c r="J50" s="52"/>
      <c r="O50" s="13"/>
      <c r="AX50" s="658" t="str">
        <f>CountryCode &amp; ".T2.B9_OB1.S1311.MNAC." &amp; RefVintage</f>
        <v>HU.T2.B9_OB1.S1311.MNAC.W.2019</v>
      </c>
    </row>
    <row r="51" spans="1:50">
      <c r="A51" s="176"/>
      <c r="B51" s="490" t="s">
        <v>923</v>
      </c>
      <c r="C51" s="146" t="s">
        <v>1269</v>
      </c>
      <c r="D51" s="138">
        <v>-48556.760000000009</v>
      </c>
      <c r="E51" s="138">
        <v>197452</v>
      </c>
      <c r="F51" s="138">
        <v>131818</v>
      </c>
      <c r="G51" s="138">
        <v>-4658.0235257093882</v>
      </c>
      <c r="H51" s="138">
        <v>81512.644855061139</v>
      </c>
      <c r="I51" s="688" t="s">
        <v>1272</v>
      </c>
      <c r="J51" s="52"/>
      <c r="O51" s="13"/>
    </row>
    <row r="52" spans="1:50">
      <c r="A52" s="176" t="s">
        <v>214</v>
      </c>
      <c r="B52" s="490" t="s">
        <v>1267</v>
      </c>
      <c r="C52" s="146" t="s">
        <v>1270</v>
      </c>
      <c r="D52" s="138">
        <v>-18918.7</v>
      </c>
      <c r="E52" s="138">
        <v>2021.8750000000055</v>
      </c>
      <c r="F52" s="138">
        <v>16348</v>
      </c>
      <c r="G52" s="138">
        <v>-10987.156167900004</v>
      </c>
      <c r="H52" s="138">
        <v>570</v>
      </c>
      <c r="I52" s="139"/>
      <c r="J52" s="52"/>
      <c r="O52" s="13"/>
      <c r="AX52" s="658" t="str">
        <f>CountryCode &amp; ".T2.B9_OB2.S1311.MNAC." &amp; RefVintage</f>
        <v>HU.T2.B9_OB2.S1311.MNAC.W.2019</v>
      </c>
    </row>
    <row r="53" spans="1:50">
      <c r="A53" s="340"/>
      <c r="B53" s="490"/>
      <c r="C53" s="147"/>
      <c r="D53" s="140"/>
      <c r="E53" s="93"/>
      <c r="F53" s="93"/>
      <c r="G53" s="93"/>
      <c r="H53" s="93"/>
      <c r="I53" s="137"/>
      <c r="J53" s="52"/>
      <c r="O53" s="13"/>
    </row>
    <row r="54" spans="1:50">
      <c r="A54" s="340" t="s">
        <v>215</v>
      </c>
      <c r="B54" s="490" t="s">
        <v>924</v>
      </c>
      <c r="C54" s="263" t="s">
        <v>49</v>
      </c>
      <c r="D54" s="264">
        <v>-151223</v>
      </c>
      <c r="E54" s="264">
        <v>-50966</v>
      </c>
      <c r="F54" s="264">
        <v>-101445</v>
      </c>
      <c r="G54" s="264">
        <v>-147482.4</v>
      </c>
      <c r="H54" s="264">
        <v>-1499.2469637871227</v>
      </c>
      <c r="I54" s="137"/>
      <c r="J54" s="52"/>
      <c r="O54" s="13"/>
      <c r="AX54" s="658" t="str">
        <f>CountryCode &amp; ".T2.OA.S1311.MNAC." &amp; RefVintage</f>
        <v>HU.T2.OA.S1311.MNAC.W.2019</v>
      </c>
    </row>
    <row r="55" spans="1:50">
      <c r="A55" s="176" t="s">
        <v>216</v>
      </c>
      <c r="B55" s="490" t="s">
        <v>925</v>
      </c>
      <c r="C55" s="146" t="s">
        <v>1278</v>
      </c>
      <c r="D55" s="138">
        <v>0</v>
      </c>
      <c r="E55" s="138">
        <v>-30083</v>
      </c>
      <c r="F55" s="138">
        <v>-89693</v>
      </c>
      <c r="G55" s="138">
        <v>-137503.4</v>
      </c>
      <c r="H55" s="138">
        <v>0</v>
      </c>
      <c r="I55" s="139"/>
      <c r="J55" s="52"/>
      <c r="O55" s="13"/>
      <c r="AX55" s="658" t="str">
        <f>CountryCode &amp; ".T2.OA1.S1311.MNAC." &amp; RefVintage</f>
        <v>HU.T2.OA1.S1311.MNAC.W.2019</v>
      </c>
    </row>
    <row r="56" spans="1:50">
      <c r="A56" s="176" t="s">
        <v>217</v>
      </c>
      <c r="B56" s="490" t="s">
        <v>926</v>
      </c>
      <c r="C56" s="146" t="s">
        <v>1279</v>
      </c>
      <c r="D56" s="138">
        <v>-4916</v>
      </c>
      <c r="E56" s="138">
        <v>-4884</v>
      </c>
      <c r="F56" s="138">
        <v>-4762</v>
      </c>
      <c r="G56" s="138">
        <v>-4611</v>
      </c>
      <c r="H56" s="138">
        <v>-4108.4529637871228</v>
      </c>
      <c r="I56" s="139"/>
      <c r="J56" s="52"/>
      <c r="O56" s="13"/>
      <c r="AX56" s="658" t="str">
        <f>CountryCode &amp; ".T2.OA2.S1311.MNAC." &amp; RefVintage</f>
        <v>HU.T2.OA2.S1311.MNAC.W.2019</v>
      </c>
    </row>
    <row r="57" spans="1:50">
      <c r="A57" s="176"/>
      <c r="B57" s="490" t="s">
        <v>927</v>
      </c>
      <c r="C57" s="146" t="s">
        <v>1280</v>
      </c>
      <c r="D57" s="138">
        <v>11155</v>
      </c>
      <c r="E57" s="138"/>
      <c r="F57" s="138"/>
      <c r="G57" s="138"/>
      <c r="H57" s="138"/>
      <c r="I57" s="139"/>
      <c r="J57" s="52"/>
      <c r="O57" s="13"/>
    </row>
    <row r="58" spans="1:50">
      <c r="A58" s="176"/>
      <c r="B58" s="490" t="s">
        <v>928</v>
      </c>
      <c r="C58" s="146" t="s">
        <v>1281</v>
      </c>
      <c r="D58" s="138">
        <v>-52290</v>
      </c>
      <c r="E58" s="138"/>
      <c r="F58" s="138"/>
      <c r="G58" s="138"/>
      <c r="H58" s="138"/>
      <c r="I58" s="139"/>
      <c r="J58" s="52"/>
      <c r="O58" s="13"/>
    </row>
    <row r="59" spans="1:50">
      <c r="A59" s="176"/>
      <c r="B59" s="490" t="s">
        <v>929</v>
      </c>
      <c r="C59" s="146" t="s">
        <v>1282</v>
      </c>
      <c r="D59" s="138">
        <v>-23428</v>
      </c>
      <c r="E59" s="138"/>
      <c r="F59" s="138"/>
      <c r="G59" s="138"/>
      <c r="H59" s="138"/>
      <c r="I59" s="139"/>
      <c r="J59" s="52"/>
      <c r="O59" s="13"/>
    </row>
    <row r="60" spans="1:50">
      <c r="A60" s="176"/>
      <c r="B60" s="490" t="s">
        <v>1273</v>
      </c>
      <c r="C60" s="146" t="s">
        <v>1283</v>
      </c>
      <c r="D60" s="138">
        <v>-47149</v>
      </c>
      <c r="E60" s="138"/>
      <c r="F60" s="138"/>
      <c r="G60" s="138"/>
      <c r="H60" s="138"/>
      <c r="I60" s="139"/>
      <c r="J60" s="52"/>
      <c r="O60" s="13"/>
    </row>
    <row r="61" spans="1:50">
      <c r="A61" s="176"/>
      <c r="B61" s="490" t="s">
        <v>1274</v>
      </c>
      <c r="C61" s="146" t="s">
        <v>1284</v>
      </c>
      <c r="D61" s="138">
        <v>-30495</v>
      </c>
      <c r="E61" s="138">
        <v>-8629</v>
      </c>
      <c r="F61" s="138">
        <v>-9651</v>
      </c>
      <c r="G61" s="138">
        <v>-9493</v>
      </c>
      <c r="H61" s="138"/>
      <c r="I61" s="139"/>
      <c r="J61" s="52"/>
      <c r="O61" s="13"/>
    </row>
    <row r="62" spans="1:50">
      <c r="A62" s="176" t="s">
        <v>218</v>
      </c>
      <c r="B62" s="490" t="s">
        <v>1275</v>
      </c>
      <c r="C62" s="146" t="s">
        <v>1285</v>
      </c>
      <c r="D62" s="138">
        <v>-4100</v>
      </c>
      <c r="E62" s="138"/>
      <c r="F62" s="138"/>
      <c r="G62" s="138"/>
      <c r="H62" s="138"/>
      <c r="I62" s="139"/>
      <c r="J62" s="52"/>
      <c r="O62" s="13"/>
      <c r="AX62" s="658" t="str">
        <f>CountryCode &amp; ".T2.OA3.S1311.MNAC." &amp; RefVintage</f>
        <v>HU.T2.OA3.S1311.MNAC.W.2019</v>
      </c>
    </row>
    <row r="63" spans="1:50">
      <c r="A63" s="176" t="s">
        <v>219</v>
      </c>
      <c r="B63" s="490" t="s">
        <v>1276</v>
      </c>
      <c r="C63" s="146" t="s">
        <v>1286</v>
      </c>
      <c r="D63" s="138"/>
      <c r="E63" s="138">
        <v>2630</v>
      </c>
      <c r="F63" s="138">
        <v>2661</v>
      </c>
      <c r="G63" s="138">
        <v>4125</v>
      </c>
      <c r="H63" s="138">
        <v>2609.2060000000001</v>
      </c>
      <c r="I63" s="139"/>
      <c r="J63" s="52"/>
      <c r="O63" s="13"/>
      <c r="AX63" s="658" t="str">
        <f>CountryCode &amp; ".T2.OA4.S1311.MNAC." &amp; RefVintage</f>
        <v>HU.T2.OA4.S1311.MNAC.W.2019</v>
      </c>
    </row>
    <row r="64" spans="1:50">
      <c r="A64" s="176" t="s">
        <v>220</v>
      </c>
      <c r="B64" s="490" t="s">
        <v>1277</v>
      </c>
      <c r="C64" s="146" t="s">
        <v>1287</v>
      </c>
      <c r="D64" s="138"/>
      <c r="E64" s="138">
        <v>-10000</v>
      </c>
      <c r="F64" s="138"/>
      <c r="G64" s="138"/>
      <c r="H64" s="138"/>
      <c r="I64" s="139"/>
      <c r="J64" s="52"/>
      <c r="O64" s="13"/>
      <c r="AX64" s="658" t="str">
        <f>CountryCode &amp; ".T2.OA5.S1311.MNAC." &amp; RefVintage</f>
        <v>HU.T2.OA5.S1311.MNAC.W.2019</v>
      </c>
    </row>
    <row r="65" spans="1:50" ht="16.5" thickBot="1">
      <c r="A65" s="340"/>
      <c r="B65" s="591"/>
      <c r="C65" s="179"/>
      <c r="D65" s="144"/>
      <c r="E65" s="145"/>
      <c r="F65" s="145"/>
      <c r="G65" s="145"/>
      <c r="H65" s="145"/>
      <c r="I65" s="3"/>
      <c r="J65" s="52"/>
      <c r="O65" s="13"/>
    </row>
    <row r="66" spans="1:50" ht="17.25" thickTop="1" thickBot="1">
      <c r="A66" s="340" t="s">
        <v>221</v>
      </c>
      <c r="B66" s="592" t="s">
        <v>930</v>
      </c>
      <c r="C66" s="374" t="s">
        <v>770</v>
      </c>
      <c r="D66" s="91">
        <v>-723608.1080639998</v>
      </c>
      <c r="E66" s="91">
        <v>-660305.90376199991</v>
      </c>
      <c r="F66" s="91">
        <v>-839362.23635700112</v>
      </c>
      <c r="G66" s="91">
        <v>-986023.56626360852</v>
      </c>
      <c r="H66" s="92">
        <v>-582726.62179607572</v>
      </c>
      <c r="I66" s="4"/>
      <c r="J66" s="51"/>
      <c r="O66" s="13"/>
      <c r="AX66" s="658" t="str">
        <f>CountryCode &amp; ".T2.B9.S1311.MNAC." &amp; RefVintage</f>
        <v>HU.T2.B9.S1311.MNAC.W.2019</v>
      </c>
    </row>
    <row r="67" spans="1:50" ht="16.5" thickTop="1">
      <c r="A67" s="292"/>
      <c r="B67" s="338"/>
      <c r="C67" s="375" t="s">
        <v>471</v>
      </c>
      <c r="D67" s="20"/>
      <c r="E67" s="20"/>
      <c r="F67" s="20"/>
      <c r="G67" s="30"/>
      <c r="H67" s="226"/>
      <c r="I67" s="20"/>
      <c r="J67" s="52"/>
      <c r="K67" s="13"/>
    </row>
    <row r="68" spans="1:50" ht="9" customHeight="1">
      <c r="A68" s="292"/>
      <c r="B68" s="338"/>
      <c r="C68" s="181"/>
      <c r="D68" s="20"/>
      <c r="E68" s="20"/>
      <c r="F68" s="20"/>
      <c r="G68" s="20"/>
      <c r="H68" s="226"/>
      <c r="I68" s="20"/>
      <c r="J68" s="52"/>
      <c r="K68" s="13"/>
    </row>
    <row r="69" spans="1:50" s="23" customFormat="1">
      <c r="A69" s="292"/>
      <c r="B69" s="338"/>
      <c r="C69" s="376" t="s">
        <v>90</v>
      </c>
      <c r="D69" s="377"/>
      <c r="E69" s="268"/>
      <c r="F69" s="20"/>
      <c r="G69" s="20"/>
      <c r="H69" s="226"/>
      <c r="I69" s="20"/>
      <c r="J69" s="52"/>
      <c r="K69" s="13"/>
      <c r="AX69" s="658"/>
    </row>
    <row r="70" spans="1:50" ht="26.25">
      <c r="A70" s="292"/>
      <c r="B70" s="338"/>
      <c r="C70" s="272" t="s">
        <v>93</v>
      </c>
      <c r="D70" s="268"/>
      <c r="E70" s="268"/>
      <c r="F70" s="20"/>
      <c r="G70" s="171"/>
      <c r="H70" s="226"/>
      <c r="I70" s="20"/>
      <c r="J70" s="52"/>
      <c r="K70" s="13"/>
    </row>
    <row r="71" spans="1:50" ht="12" customHeight="1" thickBot="1">
      <c r="A71" s="182"/>
      <c r="B71" s="254"/>
      <c r="C71" s="183"/>
      <c r="D71" s="53"/>
      <c r="E71" s="53"/>
      <c r="F71" s="53"/>
      <c r="G71" s="53"/>
      <c r="H71" s="227"/>
      <c r="I71" s="53"/>
      <c r="J71" s="54"/>
      <c r="L71" s="13"/>
    </row>
    <row r="72" spans="1:50" ht="16.5" thickTop="1">
      <c r="D72" s="55"/>
    </row>
    <row r="73" spans="1:50">
      <c r="C73" s="56"/>
    </row>
    <row r="74" spans="1:50" ht="15">
      <c r="C74" s="239" t="s">
        <v>122</v>
      </c>
      <c r="D74" s="697" t="str">
        <f>IF(COUNTA(D8:H8,D11:H18,D22:H22,D26:H26,D28:H28,D36:H36,D48:H49,D54:H54,D66:H66)/85*100=100,"OK - Table 2A is fully completed","WARNING - Table 2A is not fully completed, please fill in figure, L, M or 0")</f>
        <v>OK - Table 2A is fully completed</v>
      </c>
      <c r="E74" s="697"/>
      <c r="F74" s="697"/>
      <c r="G74" s="697"/>
      <c r="H74" s="697"/>
      <c r="I74" s="378"/>
      <c r="J74" s="241"/>
    </row>
    <row r="75" spans="1:50">
      <c r="C75" s="242" t="s">
        <v>123</v>
      </c>
      <c r="D75" s="243"/>
      <c r="E75" s="243"/>
      <c r="F75" s="243"/>
      <c r="G75" s="243"/>
      <c r="H75" s="379"/>
      <c r="I75" s="243"/>
      <c r="J75" s="244"/>
    </row>
    <row r="76" spans="1:50" ht="25.5" customHeight="1">
      <c r="C76" s="380" t="s">
        <v>537</v>
      </c>
      <c r="D76" s="381">
        <f>IF(D66="M",0,D66)-IF(D8="M",0,D8)-IF(D11="M",0,D11)-IF(D22="M",0,D22)-IF(D26="M",0,D26)-IF(D28="M",0,D28)-IF(D36="M",0,D36)-IF(D48="M",0,D48)-IF(D49="M",0,D49)-IF(D54="M",0,D54)</f>
        <v>0</v>
      </c>
      <c r="E76" s="381">
        <f>IF(E66="M",0,E66)-IF(E8="M",0,E8)-IF(E11="M",0,E11)-IF(E22="M",0,E22)-IF(E26="M",0,E26)-IF(E28="M",0,E28)-IF(E36="M",0,E36)-IF(E48="M",0,E48)-IF(E49="M",0,E49)-IF(E54="M",0,E54)</f>
        <v>-5.8207660913467407E-11</v>
      </c>
      <c r="F76" s="381">
        <f>IF(F66="M",0,F66)-IF(F8="M",0,F8)-IF(F11="M",0,F11)-IF(F22="M",0,F22)-IF(F26="M",0,F26)-IF(F28="M",0,F28)-IF(F36="M",0,F36)-IF(F48="M",0,F48)-IF(F49="M",0,F49)-IF(F54="M",0,F54)</f>
        <v>0</v>
      </c>
      <c r="G76" s="381">
        <f>IF(G66="M",0,G66)-IF(G8="M",0,G8)-IF(G11="M",0,G11)-IF(G22="M",0,G22)-IF(G26="M",0,G26)-IF(G28="M",0,G28)-IF(G36="M",0,G36)-IF(G48="M",0,G48)-IF(G49="M",0,G49)-IF(G54="M",0,G54)</f>
        <v>0</v>
      </c>
      <c r="H76" s="382">
        <f>IF(H66="M",0,H66)-IF(H8="M",0,H8)-IF(H11="M",0,H11)-IF(H22="M",0,H22)-IF(H26="M",0,H26)-IF(H28="M",0,H28)-IF(H36="M",0,H36)-IF(H48="M",0,H48)-IF(H49="M",0,H49)-IF(H54="M",0,H54)</f>
        <v>5.5479176808148623E-11</v>
      </c>
      <c r="I76" s="243"/>
      <c r="J76" s="244"/>
    </row>
    <row r="77" spans="1:50">
      <c r="C77" s="380" t="s">
        <v>127</v>
      </c>
      <c r="D77" s="381">
        <f>IF(D11="M",0,D11)-IF(D12="M",0,D12)-IF(D13="M",0,D13)-IF(D14="M",0,D14)-IF(D15="M",0,D15)-IF(D16="M",0,D16)</f>
        <v>0</v>
      </c>
      <c r="E77" s="381">
        <f>IF(E11="M",0,E11)-IF(E12="M",0,E12)-IF(E13="M",0,E13)-IF(E14="M",0,E14)-IF(E15="M",0,E15)-IF(E16="M",0,E16)</f>
        <v>0</v>
      </c>
      <c r="F77" s="381">
        <f>IF(F11="M",0,F11)-IF(F12="M",0,F12)-IF(F13="M",0,F13)-IF(F14="M",0,F14)-IF(F15="M",0,F15)-IF(F16="M",0,F16)</f>
        <v>0</v>
      </c>
      <c r="G77" s="381">
        <f>IF(G11="M",0,G11)-IF(G12="M",0,G12)-IF(G13="M",0,G13)-IF(G14="M",0,G14)-IF(G15="M",0,G15)-IF(G16="M",0,G16)</f>
        <v>0</v>
      </c>
      <c r="H77" s="382">
        <f>IF(H11="M",0,H11)-IF(H12="M",0,H12)-IF(H13="M",0,H13)-IF(H14="M",0,H14)-IF(H15="M",0,H15)-IF(H16="M",0,H16)</f>
        <v>0</v>
      </c>
      <c r="I77" s="243"/>
      <c r="J77" s="244"/>
    </row>
    <row r="78" spans="1:50">
      <c r="C78" s="380" t="s">
        <v>128</v>
      </c>
      <c r="D78" s="381">
        <f>D54-SUM(D55:D65)</f>
        <v>0</v>
      </c>
      <c r="E78" s="381">
        <f>E54-SUM(E55:E65)</f>
        <v>0</v>
      </c>
      <c r="F78" s="381">
        <f>F54-SUM(F55:F65)</f>
        <v>0</v>
      </c>
      <c r="G78" s="381">
        <f>G54-SUM(G55:G65)</f>
        <v>0</v>
      </c>
      <c r="H78" s="382">
        <f>H54-SUM(H55:H65)</f>
        <v>0</v>
      </c>
      <c r="I78" s="243"/>
      <c r="J78" s="244"/>
    </row>
    <row r="79" spans="1:50">
      <c r="A79" s="24"/>
      <c r="C79" s="383" t="s">
        <v>129</v>
      </c>
      <c r="D79" s="246"/>
      <c r="E79" s="246"/>
      <c r="F79" s="246"/>
      <c r="G79" s="246"/>
      <c r="H79" s="384"/>
      <c r="I79" s="243"/>
      <c r="J79" s="244"/>
    </row>
    <row r="80" spans="1:50">
      <c r="A80" s="24"/>
      <c r="C80" s="385" t="s">
        <v>130</v>
      </c>
      <c r="D80" s="249">
        <f>IF('Table 1'!E11="M",0,'Table 1'!E11)-IF('Table 2A'!D66="M",0,'Table 2A'!D66)</f>
        <v>0</v>
      </c>
      <c r="E80" s="249">
        <f>IF('Table 1'!F11="M",0,'Table 1'!F11)-IF('Table 2A'!E66="M",0,'Table 2A'!E66)</f>
        <v>0</v>
      </c>
      <c r="F80" s="249">
        <f>IF('Table 1'!G11="M",0,'Table 1'!G11)-IF('Table 2A'!F66="M",0,'Table 2A'!F66)</f>
        <v>0</v>
      </c>
      <c r="G80" s="249">
        <f>IF('Table 1'!H11="M",0,'Table 1'!H11)-IF('Table 2A'!G66="M",0,'Table 2A'!G66)</f>
        <v>0</v>
      </c>
      <c r="H80" s="386">
        <f>IF('Table 1'!I11="M",0,'Table 1'!I11)-IF('Table 2A'!H66="M",0,'Table 2A'!H66)</f>
        <v>0</v>
      </c>
      <c r="I80" s="387"/>
      <c r="J80" s="388"/>
    </row>
    <row r="81" spans="1:1">
      <c r="A81" s="24"/>
    </row>
    <row r="82" spans="1:1">
      <c r="A82" s="24"/>
    </row>
  </sheetData>
  <sheetProtection password="CA3F" sheet="1" objects="1" formatColumns="0" formatRows="0" insertRows="0" insertHyperlinks="0" deleteRows="0"/>
  <mergeCells count="1">
    <mergeCell ref="D74:H74"/>
  </mergeCells>
  <phoneticPr fontId="36" type="noConversion"/>
  <conditionalFormatting sqref="D74:H74">
    <cfRule type="expression" dxfId="27" priority="36" stopIfTrue="1">
      <formula>COUNTA(D8:H8,D11:H18,D22:H22,D26:H26,D28:H28,D36:H36,D48:H49,D54:H54,D66:H66)/85*100&lt;&gt;100</formula>
    </cfRule>
  </conditionalFormatting>
  <conditionalFormatting sqref="D8:H8 D11:H18 D22:H22 D26:H26 D28:H28 D36:H36 D48:H49 D54:H54 D66:H66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1219</v>
      </c>
    </row>
    <row r="3" spans="1:50" ht="16.5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>
      <c r="A5" s="282"/>
      <c r="B5" s="398" t="s">
        <v>485</v>
      </c>
      <c r="C5" s="405" t="s">
        <v>70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58"/>
      <c r="J5" s="45"/>
      <c r="O5" s="13"/>
    </row>
    <row r="6" spans="1:50">
      <c r="A6" s="282"/>
      <c r="B6" s="338"/>
      <c r="C6" s="286" t="str">
        <f>'Cover page'!E14</f>
        <v>Date: 29/03/2019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0" t="s">
        <v>931</v>
      </c>
      <c r="C8" s="368" t="s">
        <v>50</v>
      </c>
      <c r="D8" s="89" t="s">
        <v>1235</v>
      </c>
      <c r="E8" s="90" t="s">
        <v>1235</v>
      </c>
      <c r="F8" s="90" t="s">
        <v>1235</v>
      </c>
      <c r="G8" s="90" t="s">
        <v>1235</v>
      </c>
      <c r="H8" s="90" t="s">
        <v>1235</v>
      </c>
      <c r="I8" s="11"/>
      <c r="J8" s="51"/>
      <c r="O8" s="13"/>
      <c r="AX8" s="658" t="str">
        <f>CountryCode &amp; ".T2.WB.S1312.MNAC." &amp; RefVintage</f>
        <v>HU.T2.WB.S1312.MNAC.W.2019</v>
      </c>
    </row>
    <row r="9" spans="1:50" ht="16.5" thickTop="1">
      <c r="A9" s="340"/>
      <c r="B9" s="593"/>
      <c r="C9" s="369" t="s">
        <v>83</v>
      </c>
      <c r="D9" s="158" t="s">
        <v>1235</v>
      </c>
      <c r="E9" s="158" t="s">
        <v>1235</v>
      </c>
      <c r="F9" s="158" t="s">
        <v>1235</v>
      </c>
      <c r="G9" s="158" t="s">
        <v>1235</v>
      </c>
      <c r="H9" s="158" t="s">
        <v>1235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HU.T2.WB_STATUS.S1312.MNAC.W.2019</v>
      </c>
    </row>
    <row r="11" spans="1:50">
      <c r="A11" s="340" t="s">
        <v>223</v>
      </c>
      <c r="B11" s="490" t="s">
        <v>932</v>
      </c>
      <c r="C11" s="370" t="s">
        <v>92</v>
      </c>
      <c r="D11" s="136" t="s">
        <v>1235</v>
      </c>
      <c r="E11" s="136" t="s">
        <v>1235</v>
      </c>
      <c r="F11" s="136" t="s">
        <v>1235</v>
      </c>
      <c r="G11" s="136" t="s">
        <v>1235</v>
      </c>
      <c r="H11" s="136" t="s">
        <v>1235</v>
      </c>
      <c r="I11" s="137"/>
      <c r="J11" s="52"/>
      <c r="O11" s="13"/>
      <c r="AX11" s="658" t="str">
        <f>CountryCode &amp; ".T2.FT.S1312.MNAC." &amp; RefVintage</f>
        <v>HU.T2.FT.S1312.MNAC.W.2019</v>
      </c>
    </row>
    <row r="12" spans="1:50">
      <c r="A12" s="340" t="s">
        <v>224</v>
      </c>
      <c r="B12" s="490" t="s">
        <v>933</v>
      </c>
      <c r="C12" s="371" t="s">
        <v>53</v>
      </c>
      <c r="D12" s="136" t="s">
        <v>1235</v>
      </c>
      <c r="E12" s="136" t="s">
        <v>1235</v>
      </c>
      <c r="F12" s="136" t="s">
        <v>1235</v>
      </c>
      <c r="G12" s="136" t="s">
        <v>1235</v>
      </c>
      <c r="H12" s="136" t="s">
        <v>1235</v>
      </c>
      <c r="I12" s="137"/>
      <c r="J12" s="52"/>
      <c r="O12" s="13"/>
      <c r="AX12" s="658" t="str">
        <f>CountryCode &amp; ".T2.F4.S1312.MNAC." &amp; RefVintage</f>
        <v>HU.T2.F4.S1312.MNAC.W.2019</v>
      </c>
    </row>
    <row r="13" spans="1:50">
      <c r="A13" s="340" t="s">
        <v>225</v>
      </c>
      <c r="B13" s="490" t="s">
        <v>934</v>
      </c>
      <c r="C13" s="372" t="s">
        <v>54</v>
      </c>
      <c r="D13" s="136" t="s">
        <v>1235</v>
      </c>
      <c r="E13" s="136" t="s">
        <v>1235</v>
      </c>
      <c r="F13" s="136" t="s">
        <v>1235</v>
      </c>
      <c r="G13" s="136" t="s">
        <v>1235</v>
      </c>
      <c r="H13" s="136" t="s">
        <v>1235</v>
      </c>
      <c r="I13" s="137"/>
      <c r="J13" s="52"/>
      <c r="O13" s="13"/>
      <c r="AX13" s="658" t="str">
        <f>CountryCode &amp; ".T2.F5.S1312.MNAC." &amp; RefVintage</f>
        <v>HU.T2.F5.S1312.MNAC.W.2019</v>
      </c>
    </row>
    <row r="14" spans="1:50">
      <c r="A14" s="340" t="s">
        <v>226</v>
      </c>
      <c r="B14" s="490" t="s">
        <v>935</v>
      </c>
      <c r="C14" s="372" t="s">
        <v>35</v>
      </c>
      <c r="D14" s="136" t="s">
        <v>1235</v>
      </c>
      <c r="E14" s="136" t="s">
        <v>1235</v>
      </c>
      <c r="F14" s="136" t="s">
        <v>1235</v>
      </c>
      <c r="G14" s="136" t="s">
        <v>1235</v>
      </c>
      <c r="H14" s="136" t="s">
        <v>1235</v>
      </c>
      <c r="I14" s="137"/>
      <c r="J14" s="52"/>
      <c r="O14" s="13"/>
      <c r="AX14" s="658" t="str">
        <f>CountryCode &amp; ".T2.OFT.S1312.MNAC." &amp; RefVintage</f>
        <v>HU.T2.OFT.S1312.MNAC.W.2019</v>
      </c>
    </row>
    <row r="15" spans="1:50" ht="16.5" thickBot="1">
      <c r="A15" s="340" t="s">
        <v>227</v>
      </c>
      <c r="B15" s="490" t="s">
        <v>936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136" t="s">
        <v>1235</v>
      </c>
      <c r="I15" s="137"/>
      <c r="J15" s="52"/>
      <c r="O15" s="13"/>
      <c r="AX15" s="658" t="str">
        <f>CountryCode &amp; ".T2.OFTDL.S1312.MNAC." &amp; RefVintage</f>
        <v>HU.T2.OFTDL.S1312.MNAC.W.2019</v>
      </c>
    </row>
    <row r="16" spans="1:50" ht="16.5" thickBot="1">
      <c r="A16" s="341" t="s">
        <v>487</v>
      </c>
      <c r="B16" s="490" t="s">
        <v>937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136" t="s">
        <v>1235</v>
      </c>
      <c r="I16" s="137"/>
      <c r="J16" s="52"/>
      <c r="O16" s="13"/>
      <c r="AX16" s="658" t="str">
        <f>CountryCode &amp; ".T2.F71K.S1312.MNAC." &amp; RefVintage</f>
        <v>HU.T2.F71K.S1312.MNAC.W.2019</v>
      </c>
    </row>
    <row r="17" spans="1:50">
      <c r="A17" s="176" t="s">
        <v>228</v>
      </c>
      <c r="B17" s="490" t="s">
        <v>938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HU.T2.OFT1.S1312.MNAC.W.2019</v>
      </c>
    </row>
    <row r="18" spans="1:50">
      <c r="A18" s="176" t="s">
        <v>229</v>
      </c>
      <c r="B18" s="490" t="s">
        <v>939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HU.T2.OFT2.S1312.MNAC.W.2019</v>
      </c>
    </row>
    <row r="19" spans="1:50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0" t="s">
        <v>958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150" t="s">
        <v>1235</v>
      </c>
      <c r="I20" s="137"/>
      <c r="J20" s="52"/>
      <c r="O20" s="13"/>
      <c r="AX20" s="658" t="str">
        <f>CountryCode &amp; ".T2.ONFT.S1312.MNAC." &amp; RefVintage</f>
        <v>HU.T2.ONFT.S1312.MNAC.W.2019</v>
      </c>
    </row>
    <row r="21" spans="1:50">
      <c r="A21" s="176" t="s">
        <v>231</v>
      </c>
      <c r="B21" s="490" t="s">
        <v>959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HU.T2.ONFT1.S1312.MNAC.W.2019</v>
      </c>
    </row>
    <row r="22" spans="1:50">
      <c r="A22" s="176" t="s">
        <v>232</v>
      </c>
      <c r="B22" s="490" t="s">
        <v>960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HU.T2.ONFT2.S1312.MNAC.W.2019</v>
      </c>
    </row>
    <row r="23" spans="1:50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0" t="s">
        <v>967</v>
      </c>
      <c r="C24" s="263" t="s">
        <v>470</v>
      </c>
      <c r="D24" s="150" t="s">
        <v>1235</v>
      </c>
      <c r="E24" s="150" t="s">
        <v>1235</v>
      </c>
      <c r="F24" s="150" t="s">
        <v>1235</v>
      </c>
      <c r="G24" s="150" t="s">
        <v>1235</v>
      </c>
      <c r="H24" s="150" t="s">
        <v>1235</v>
      </c>
      <c r="I24" s="137"/>
      <c r="J24" s="52"/>
      <c r="O24" s="13"/>
      <c r="AX24" s="658" t="str">
        <f>CountryCode &amp; ".T2.D41DIF.S1312.MNAC." &amp; RefVintage</f>
        <v>HU.T2.D41DIF.S1312.MNAC.W.2019</v>
      </c>
    </row>
    <row r="25" spans="1:50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0" t="s">
        <v>970</v>
      </c>
      <c r="C26" s="370" t="s">
        <v>48</v>
      </c>
      <c r="D26" s="150" t="s">
        <v>1235</v>
      </c>
      <c r="E26" s="150" t="s">
        <v>1235</v>
      </c>
      <c r="F26" s="150" t="s">
        <v>1235</v>
      </c>
      <c r="G26" s="150" t="s">
        <v>1235</v>
      </c>
      <c r="H26" s="150" t="s">
        <v>1235</v>
      </c>
      <c r="I26" s="137"/>
      <c r="J26" s="52"/>
      <c r="O26" s="13"/>
      <c r="AX26" s="658" t="str">
        <f>CountryCode &amp; ".T2.F8ASS.S1312.MNAC." &amp; RefVintage</f>
        <v>HU.T2.F8ASS.S1312.MNAC.W.2019</v>
      </c>
    </row>
    <row r="27" spans="1:50">
      <c r="A27" s="176" t="s">
        <v>539</v>
      </c>
      <c r="B27" s="490" t="s">
        <v>971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HU.T2.F8ASS1.S1312.MNAC.W.2019</v>
      </c>
    </row>
    <row r="28" spans="1:50">
      <c r="A28" s="176" t="s">
        <v>540</v>
      </c>
      <c r="B28" s="490" t="s">
        <v>972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HU.T2.F8ASS2.S1312.MNAC.W.2019</v>
      </c>
    </row>
    <row r="29" spans="1:50">
      <c r="A29" s="340" t="s">
        <v>541</v>
      </c>
      <c r="B29" s="490" t="s">
        <v>979</v>
      </c>
      <c r="C29" s="370" t="s">
        <v>47</v>
      </c>
      <c r="D29" s="150" t="s">
        <v>1235</v>
      </c>
      <c r="E29" s="150" t="s">
        <v>1235</v>
      </c>
      <c r="F29" s="150" t="s">
        <v>1235</v>
      </c>
      <c r="G29" s="150" t="s">
        <v>1235</v>
      </c>
      <c r="H29" s="150" t="s">
        <v>1235</v>
      </c>
      <c r="I29" s="137"/>
      <c r="J29" s="52"/>
      <c r="O29" s="13"/>
      <c r="AX29" s="658" t="str">
        <f>CountryCode &amp; ".T2.F8LIA.S1312.MNAC." &amp; RefVintage</f>
        <v>HU.T2.F8LIA.S1312.MNAC.W.2019</v>
      </c>
    </row>
    <row r="30" spans="1:50">
      <c r="A30" s="176" t="s">
        <v>542</v>
      </c>
      <c r="B30" s="490" t="s">
        <v>980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HU.T2.F8LIA1.S1312.MNAC.W.2019</v>
      </c>
    </row>
    <row r="31" spans="1:50">
      <c r="A31" s="176" t="s">
        <v>543</v>
      </c>
      <c r="B31" s="490" t="s">
        <v>981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HU.T2.F8LIA2.S1312.MNAC.W.2019</v>
      </c>
    </row>
    <row r="32" spans="1:50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0" t="s">
        <v>988</v>
      </c>
      <c r="C33" s="370" t="s">
        <v>77</v>
      </c>
      <c r="D33" s="150" t="s">
        <v>1235</v>
      </c>
      <c r="E33" s="150" t="s">
        <v>1235</v>
      </c>
      <c r="F33" s="150" t="s">
        <v>1235</v>
      </c>
      <c r="G33" s="150" t="s">
        <v>1235</v>
      </c>
      <c r="H33" s="150" t="s">
        <v>1235</v>
      </c>
      <c r="I33" s="137"/>
      <c r="J33" s="52"/>
      <c r="O33" s="13"/>
      <c r="AX33" s="658" t="str">
        <f>CountryCode &amp; ".T2.B9_OWB.S1312.MNAC." &amp; RefVintage</f>
        <v>HU.T2.B9_OWB.S1312.MNAC.W.2019</v>
      </c>
    </row>
    <row r="34" spans="1:50">
      <c r="A34" s="340" t="s">
        <v>235</v>
      </c>
      <c r="B34" s="490" t="s">
        <v>989</v>
      </c>
      <c r="C34" s="370" t="s">
        <v>787</v>
      </c>
      <c r="D34" s="150" t="s">
        <v>1235</v>
      </c>
      <c r="E34" s="150" t="s">
        <v>1235</v>
      </c>
      <c r="F34" s="150" t="s">
        <v>1235</v>
      </c>
      <c r="G34" s="150" t="s">
        <v>1235</v>
      </c>
      <c r="H34" s="150" t="s">
        <v>1235</v>
      </c>
      <c r="I34" s="137"/>
      <c r="J34" s="52"/>
      <c r="O34" s="13"/>
      <c r="AX34" s="658" t="str">
        <f>CountryCode &amp; ".T2.B9_OB.S1312.MNAC." &amp; RefVintage</f>
        <v>HU.T2.B9_OB.S1312.MNAC.W.2019</v>
      </c>
    </row>
    <row r="35" spans="1:50">
      <c r="A35" s="176" t="s">
        <v>236</v>
      </c>
      <c r="B35" s="490" t="s">
        <v>990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HU.T2.B9_OB1.S1312.MNAC.W.2019</v>
      </c>
    </row>
    <row r="36" spans="1:50">
      <c r="A36" s="176" t="s">
        <v>237</v>
      </c>
      <c r="B36" s="490" t="s">
        <v>991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HU.T2.B9_OB2.S1312.MNAC.W.2019</v>
      </c>
    </row>
    <row r="37" spans="1:50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0" t="s">
        <v>1000</v>
      </c>
      <c r="C38" s="370" t="s">
        <v>49</v>
      </c>
      <c r="D38" s="150" t="s">
        <v>1235</v>
      </c>
      <c r="E38" s="150" t="s">
        <v>1235</v>
      </c>
      <c r="F38" s="150" t="s">
        <v>1235</v>
      </c>
      <c r="G38" s="150" t="s">
        <v>1235</v>
      </c>
      <c r="H38" s="150" t="s">
        <v>1235</v>
      </c>
      <c r="I38" s="137"/>
      <c r="J38" s="52"/>
      <c r="O38" s="13"/>
      <c r="AX38" s="658" t="str">
        <f>CountryCode &amp; ".T2.OA.S1312.MNAC." &amp; RefVintage</f>
        <v>HU.T2.OA.S1312.MNAC.W.2019</v>
      </c>
    </row>
    <row r="39" spans="1:50">
      <c r="A39" s="176" t="s">
        <v>239</v>
      </c>
      <c r="B39" s="490" t="s">
        <v>1001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HU.T2.OA1.S1312.MNAC.W.2019</v>
      </c>
    </row>
    <row r="40" spans="1:50">
      <c r="A40" s="176" t="s">
        <v>240</v>
      </c>
      <c r="B40" s="490" t="s">
        <v>1002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HU.T2.OA2.S1312.MNAC.W.2019</v>
      </c>
    </row>
    <row r="41" spans="1:50">
      <c r="A41" s="176" t="s">
        <v>241</v>
      </c>
      <c r="B41" s="490" t="s">
        <v>1003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HU.T2.OA3.S1312.MNAC.W.2019</v>
      </c>
    </row>
    <row r="42" spans="1:50" ht="16.5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0" t="s">
        <v>1012</v>
      </c>
      <c r="C43" s="374" t="s">
        <v>771</v>
      </c>
      <c r="D43" s="91" t="s">
        <v>1235</v>
      </c>
      <c r="E43" s="91" t="s">
        <v>1235</v>
      </c>
      <c r="F43" s="91" t="s">
        <v>1235</v>
      </c>
      <c r="G43" s="91" t="s">
        <v>1235</v>
      </c>
      <c r="H43" s="91" t="s">
        <v>1235</v>
      </c>
      <c r="I43" s="4"/>
      <c r="J43" s="51"/>
      <c r="O43" s="13"/>
      <c r="AX43" s="658" t="str">
        <f>CountryCode &amp; ".T2.B9.S1312.MNAC." &amp; RefVintage</f>
        <v>HU.T2.B9.S1312.MNAC.W.2019</v>
      </c>
    </row>
    <row r="44" spans="1:50" ht="16.5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6.25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698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8"/>
      <c r="F51" s="698"/>
      <c r="G51" s="698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8">
    <cfRule type="cellIs" dxfId="23" priority="2" operator="equal">
      <formula>""</formula>
    </cfRule>
  </conditionalFormatting>
  <conditionalFormatting sqref="H11:H16 H20 H24 H26 H29 H33:H34 H38 H43">
    <cfRule type="cellIs" dxfId="2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4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1219</v>
      </c>
    </row>
    <row r="3" spans="1:50" ht="16.5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>
      <c r="A5" s="282" t="s">
        <v>126</v>
      </c>
      <c r="B5" s="398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406"/>
      <c r="J5" s="404"/>
      <c r="O5" s="13"/>
    </row>
    <row r="6" spans="1:50">
      <c r="A6" s="282"/>
      <c r="B6" s="338"/>
      <c r="C6" s="286" t="str">
        <f>'Cover page'!E14</f>
        <v>Date: 29/03/2019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7.25" thickTop="1" thickBot="1">
      <c r="A8" s="340" t="s">
        <v>243</v>
      </c>
      <c r="B8" s="490" t="s">
        <v>949</v>
      </c>
      <c r="C8" s="368" t="s">
        <v>51</v>
      </c>
      <c r="D8" s="89">
        <v>13554.399999999907</v>
      </c>
      <c r="E8" s="90">
        <v>284790.10000000009</v>
      </c>
      <c r="F8" s="90">
        <v>518929.79999999981</v>
      </c>
      <c r="G8" s="90">
        <v>254397.14097099984</v>
      </c>
      <c r="H8" s="90">
        <v>-368271.60000000009</v>
      </c>
      <c r="I8" s="11"/>
      <c r="J8" s="51"/>
      <c r="O8" s="13"/>
      <c r="AX8" s="658" t="str">
        <f>CountryCode &amp; ".T2.WB.S1313.MNAC." &amp; RefVintage</f>
        <v>HU.T2.WB.S1313.MNAC.W.2019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452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HU.T2.WB_STATUS.S1313.MNAC.W.2019</v>
      </c>
    </row>
    <row r="11" spans="1:50">
      <c r="A11" s="340" t="s">
        <v>244</v>
      </c>
      <c r="B11" s="490" t="s">
        <v>950</v>
      </c>
      <c r="C11" s="370" t="s">
        <v>92</v>
      </c>
      <c r="D11" s="136">
        <v>-6172.71450000001</v>
      </c>
      <c r="E11" s="136">
        <v>-11170.0970524</v>
      </c>
      <c r="F11" s="136">
        <v>-11314.474475999999</v>
      </c>
      <c r="G11" s="136">
        <v>-21918.5989371</v>
      </c>
      <c r="H11" s="136">
        <v>6050</v>
      </c>
      <c r="I11" s="137"/>
      <c r="J11" s="52"/>
      <c r="O11" s="13"/>
      <c r="AX11" s="658" t="str">
        <f>CountryCode &amp; ".T2.FT.S1313.MNAC." &amp; RefVintage</f>
        <v>HU.T2.FT.S1313.MNAC.W.2019</v>
      </c>
    </row>
    <row r="12" spans="1:50">
      <c r="A12" s="340" t="s">
        <v>245</v>
      </c>
      <c r="B12" s="490" t="s">
        <v>951</v>
      </c>
      <c r="C12" s="371" t="s">
        <v>53</v>
      </c>
      <c r="D12" s="136">
        <v>-8352.3320000000094</v>
      </c>
      <c r="E12" s="136">
        <v>-7208.0402439999998</v>
      </c>
      <c r="F12" s="136">
        <v>-22482.775248999998</v>
      </c>
      <c r="G12" s="136">
        <v>-13865.019788</v>
      </c>
      <c r="H12" s="136">
        <v>-1250</v>
      </c>
      <c r="I12" s="137"/>
      <c r="J12" s="52"/>
      <c r="O12" s="13"/>
      <c r="AX12" s="658" t="str">
        <f>CountryCode &amp; ".T2.F4.S1313.MNAC." &amp; RefVintage</f>
        <v>HU.T2.F4.S1313.MNAC.W.2019</v>
      </c>
    </row>
    <row r="13" spans="1:50">
      <c r="A13" s="340" t="s">
        <v>246</v>
      </c>
      <c r="B13" s="490" t="s">
        <v>952</v>
      </c>
      <c r="C13" s="372" t="s">
        <v>54</v>
      </c>
      <c r="D13" s="136">
        <v>-952.29550000000017</v>
      </c>
      <c r="E13" s="136">
        <v>-4922.4967964000007</v>
      </c>
      <c r="F13" s="136">
        <v>13095.686974999999</v>
      </c>
      <c r="G13" s="136">
        <v>-2712.7050801</v>
      </c>
      <c r="H13" s="136">
        <v>7300</v>
      </c>
      <c r="I13" s="137"/>
      <c r="J13" s="52"/>
      <c r="O13" s="13"/>
      <c r="AX13" s="658" t="str">
        <f>CountryCode &amp; ".T2.F5.S1313.MNAC." &amp; RefVintage</f>
        <v>HU.T2.F5.S1313.MNAC.W.2019</v>
      </c>
    </row>
    <row r="14" spans="1:50">
      <c r="A14" s="340" t="s">
        <v>247</v>
      </c>
      <c r="B14" s="490" t="s">
        <v>953</v>
      </c>
      <c r="C14" s="372" t="s">
        <v>35</v>
      </c>
      <c r="D14" s="136">
        <v>3131.9129999999996</v>
      </c>
      <c r="E14" s="136">
        <v>960.43998799999997</v>
      </c>
      <c r="F14" s="136">
        <v>-1927.3862019999999</v>
      </c>
      <c r="G14" s="136">
        <v>-5340.8740690000004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HU.T2.OFT.S1313.MNAC.W.2019</v>
      </c>
    </row>
    <row r="15" spans="1:50" ht="16.5" thickBot="1">
      <c r="A15" s="340" t="s">
        <v>248</v>
      </c>
      <c r="B15" s="490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HU.T2.OFTDL.S1313.MNAC.W.2019</v>
      </c>
    </row>
    <row r="16" spans="1:50" ht="16.5" thickBot="1">
      <c r="A16" s="341" t="s">
        <v>489</v>
      </c>
      <c r="B16" s="490" t="s">
        <v>955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136" t="s">
        <v>1235</v>
      </c>
      <c r="I16" s="137"/>
      <c r="J16" s="52"/>
      <c r="O16" s="13"/>
      <c r="AX16" s="658" t="str">
        <f>CountryCode &amp; ".T2.F71K.S1313.MNAC." &amp; RefVintage</f>
        <v>HU.T2.F71K.S1313.MNAC.W.2019</v>
      </c>
    </row>
    <row r="17" spans="1:50">
      <c r="A17" s="176" t="s">
        <v>249</v>
      </c>
      <c r="B17" s="490" t="s">
        <v>956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HU.T2.OFT1.S1313.MNAC.W.2019</v>
      </c>
    </row>
    <row r="18" spans="1:50">
      <c r="A18" s="176" t="s">
        <v>250</v>
      </c>
      <c r="B18" s="490" t="s">
        <v>957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HU.T2.OFT2.S1313.MNAC.W.2019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0" t="s">
        <v>964</v>
      </c>
      <c r="C20" s="370" t="s">
        <v>121</v>
      </c>
      <c r="D20" s="150">
        <v>50.263000000268221</v>
      </c>
      <c r="E20" s="150">
        <v>192.0966579997912</v>
      </c>
      <c r="F20" s="150">
        <v>-7.1436999831348658E-2</v>
      </c>
      <c r="G20" s="150" t="s">
        <v>1235</v>
      </c>
      <c r="H20" s="150" t="s">
        <v>1235</v>
      </c>
      <c r="I20" s="137"/>
      <c r="J20" s="52"/>
      <c r="O20" s="13"/>
      <c r="AX20" s="658" t="str">
        <f>CountryCode &amp; ".T2.ONFT.S1313.MNAC." &amp; RefVintage</f>
        <v>HU.T2.ONFT.S1313.MNAC.W.2019</v>
      </c>
    </row>
    <row r="21" spans="1:50">
      <c r="A21" s="176" t="s">
        <v>252</v>
      </c>
      <c r="B21" s="490" t="s">
        <v>965</v>
      </c>
      <c r="C21" s="147" t="s">
        <v>71</v>
      </c>
      <c r="D21" s="148">
        <v>50.263000000268221</v>
      </c>
      <c r="E21" s="148">
        <v>192.0966579997912</v>
      </c>
      <c r="F21" s="148">
        <v>-7.1436999831348658E-2</v>
      </c>
      <c r="G21" s="148" t="s">
        <v>1235</v>
      </c>
      <c r="H21" s="148"/>
      <c r="I21" s="139"/>
      <c r="J21" s="52"/>
      <c r="O21" s="13"/>
      <c r="AX21" s="658" t="str">
        <f>CountryCode &amp; ".T2.ONFT1.S1313.MNAC." &amp; RefVintage</f>
        <v>HU.T2.ONFT1.S1313.MNAC.W.2019</v>
      </c>
    </row>
    <row r="22" spans="1:50">
      <c r="A22" s="176" t="s">
        <v>253</v>
      </c>
      <c r="B22" s="490" t="s">
        <v>966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HU.T2.ONFT2.S1313.MNAC.W.2019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0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HU.T2.D41DIF.S1313.MNAC.W.2019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0" t="s">
        <v>976</v>
      </c>
      <c r="C26" s="370" t="s">
        <v>48</v>
      </c>
      <c r="D26" s="150">
        <v>9951.0869999998922</v>
      </c>
      <c r="E26" s="150">
        <v>-172677.51500700007</v>
      </c>
      <c r="F26" s="150">
        <v>-472727.19231300009</v>
      </c>
      <c r="G26" s="150">
        <v>-263475.82412900002</v>
      </c>
      <c r="H26" s="150">
        <v>274633.8</v>
      </c>
      <c r="I26" s="137"/>
      <c r="J26" s="52"/>
      <c r="O26" s="13"/>
      <c r="AX26" s="658" t="str">
        <f>CountryCode &amp; ".T2.F8ASS.S1313.MNAC." &amp; RefVintage</f>
        <v>HU.T2.F8ASS.S1313.MNAC.W.2019</v>
      </c>
    </row>
    <row r="27" spans="1:50">
      <c r="A27" s="176" t="s">
        <v>546</v>
      </c>
      <c r="B27" s="490" t="s">
        <v>977</v>
      </c>
      <c r="C27" s="147" t="s">
        <v>1292</v>
      </c>
      <c r="D27" s="148">
        <v>10599</v>
      </c>
      <c r="E27" s="148">
        <v>-125</v>
      </c>
      <c r="F27" s="148">
        <v>568</v>
      </c>
      <c r="G27" s="148">
        <v>3582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HU.T2.F8ASS1.S1313.MNAC.W.2019</v>
      </c>
    </row>
    <row r="28" spans="1:50">
      <c r="A28" s="176"/>
      <c r="B28" s="490" t="s">
        <v>978</v>
      </c>
      <c r="C28" s="147" t="s">
        <v>1243</v>
      </c>
      <c r="D28" s="148">
        <v>-647.91300000010722</v>
      </c>
      <c r="E28" s="148">
        <v>-14586.515007000076</v>
      </c>
      <c r="F28" s="148">
        <v>2527.8076869999168</v>
      </c>
      <c r="G28" s="148">
        <v>1637.1758709999956</v>
      </c>
      <c r="H28" s="148">
        <v>0</v>
      </c>
      <c r="I28" s="686" t="s">
        <v>1290</v>
      </c>
      <c r="J28" s="52"/>
      <c r="O28" s="13"/>
    </row>
    <row r="29" spans="1:50">
      <c r="A29" s="176" t="s">
        <v>547</v>
      </c>
      <c r="B29" s="490" t="s">
        <v>1291</v>
      </c>
      <c r="C29" s="147" t="s">
        <v>1293</v>
      </c>
      <c r="D29" s="148"/>
      <c r="E29" s="148">
        <v>-157966</v>
      </c>
      <c r="F29" s="148">
        <v>-475823</v>
      </c>
      <c r="G29" s="148">
        <v>-268695</v>
      </c>
      <c r="H29" s="148">
        <v>274633.8</v>
      </c>
      <c r="I29" s="139"/>
      <c r="J29" s="52"/>
      <c r="O29" s="13"/>
      <c r="AX29" s="658" t="str">
        <f>CountryCode &amp; ".T2.F8ASS2.S1313.MNAC." &amp; RefVintage</f>
        <v>HU.T2.F8ASS2.S1313.MNAC.W.2019</v>
      </c>
    </row>
    <row r="30" spans="1:50">
      <c r="A30" s="340" t="s">
        <v>548</v>
      </c>
      <c r="B30" s="490" t="s">
        <v>985</v>
      </c>
      <c r="C30" s="370" t="s">
        <v>47</v>
      </c>
      <c r="D30" s="150">
        <v>41547</v>
      </c>
      <c r="E30" s="150">
        <v>-2533.6120400000364</v>
      </c>
      <c r="F30" s="150">
        <v>-11215.980316000001</v>
      </c>
      <c r="G30" s="150">
        <v>-10881.013726999983</v>
      </c>
      <c r="H30" s="150">
        <v>-5000</v>
      </c>
      <c r="I30" s="137"/>
      <c r="J30" s="52"/>
      <c r="O30" s="13"/>
      <c r="AX30" s="658" t="str">
        <f>CountryCode &amp; ".T2.F8LIA.S1313.MNAC." &amp; RefVintage</f>
        <v>HU.T2.F8LIA.S1313.MNAC.W.2019</v>
      </c>
    </row>
    <row r="31" spans="1:50">
      <c r="A31" s="176" t="s">
        <v>549</v>
      </c>
      <c r="B31" s="490" t="s">
        <v>986</v>
      </c>
      <c r="C31" s="147" t="s">
        <v>1257</v>
      </c>
      <c r="D31" s="148">
        <v>-10980</v>
      </c>
      <c r="E31" s="148">
        <v>8922</v>
      </c>
      <c r="F31" s="148">
        <v>-31989</v>
      </c>
      <c r="G31" s="148">
        <v>11909</v>
      </c>
      <c r="H31" s="148">
        <v>-4000</v>
      </c>
      <c r="I31" s="139"/>
      <c r="J31" s="52"/>
      <c r="O31" s="13"/>
      <c r="AX31" s="658" t="str">
        <f>CountryCode &amp; ".T2.F8LIA1.S1313.MNAC." &amp; RefVintage</f>
        <v>HU.T2.F8LIA1.S1313.MNAC.W.2019</v>
      </c>
    </row>
    <row r="32" spans="1:50">
      <c r="A32" s="176"/>
      <c r="B32" s="490" t="s">
        <v>987</v>
      </c>
      <c r="C32" s="147" t="s">
        <v>1258</v>
      </c>
      <c r="D32" s="148">
        <v>-8177</v>
      </c>
      <c r="E32" s="148">
        <v>-3049</v>
      </c>
      <c r="F32" s="148">
        <v>-1673</v>
      </c>
      <c r="G32" s="148">
        <v>-4362</v>
      </c>
      <c r="H32" s="148">
        <v>5000</v>
      </c>
      <c r="I32" s="139"/>
      <c r="J32" s="52"/>
      <c r="O32" s="13"/>
    </row>
    <row r="33" spans="1:256">
      <c r="A33" s="176" t="s">
        <v>550</v>
      </c>
      <c r="B33" s="490" t="s">
        <v>1294</v>
      </c>
      <c r="C33" s="147" t="s">
        <v>1261</v>
      </c>
      <c r="D33" s="148">
        <v>60704</v>
      </c>
      <c r="E33" s="148">
        <v>-8406.6120400000364</v>
      </c>
      <c r="F33" s="148">
        <v>22446.019683999999</v>
      </c>
      <c r="G33" s="148">
        <v>-18428.013726999983</v>
      </c>
      <c r="H33" s="148">
        <v>-6000</v>
      </c>
      <c r="I33" s="139"/>
      <c r="J33" s="52"/>
      <c r="O33" s="13"/>
      <c r="AX33" s="658" t="str">
        <f>CountryCode &amp; ".T2.F8LIA2.S1313.MNAC." &amp; RefVintage</f>
        <v>HU.T2.F8LIA2.S1313.MNAC.W.2019</v>
      </c>
    </row>
    <row r="34" spans="1:25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256">
      <c r="A35" s="340" t="s">
        <v>255</v>
      </c>
      <c r="B35" s="490" t="s">
        <v>996</v>
      </c>
      <c r="C35" s="370" t="s">
        <v>78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150" t="s">
        <v>1235</v>
      </c>
      <c r="I35" s="137"/>
      <c r="J35" s="52"/>
      <c r="O35" s="13"/>
      <c r="AX35" s="658" t="str">
        <f>CountryCode &amp; ".T2.B9_OWB.S1313.MNAC." &amp; RefVintage</f>
        <v>HU.T2.B9_OWB.S1313.MNAC.W.2019</v>
      </c>
    </row>
    <row r="36" spans="1:256">
      <c r="A36" s="340" t="s">
        <v>256</v>
      </c>
      <c r="B36" s="490" t="s">
        <v>997</v>
      </c>
      <c r="C36" s="370" t="s">
        <v>788</v>
      </c>
      <c r="D36" s="150">
        <v>116</v>
      </c>
      <c r="E36" s="150">
        <v>990</v>
      </c>
      <c r="F36" s="150">
        <v>-7960</v>
      </c>
      <c r="G36" s="150">
        <v>-3148.911914577553</v>
      </c>
      <c r="H36" s="150">
        <v>1017.0236450000083</v>
      </c>
      <c r="I36" s="137"/>
      <c r="J36" s="52"/>
      <c r="O36" s="13"/>
      <c r="AX36" s="658" t="str">
        <f>CountryCode &amp; ".T2.B9_OB.S1313.MNAC." &amp; RefVintage</f>
        <v>HU.T2.B9_OB.S1313.MNAC.W.2019</v>
      </c>
    </row>
    <row r="37" spans="1:256">
      <c r="A37" s="176" t="s">
        <v>257</v>
      </c>
      <c r="B37" s="490" t="s">
        <v>998</v>
      </c>
      <c r="C37" s="147" t="s">
        <v>1295</v>
      </c>
      <c r="D37" s="148">
        <v>1242</v>
      </c>
      <c r="E37" s="148">
        <v>1371</v>
      </c>
      <c r="F37" s="148">
        <v>-6797</v>
      </c>
      <c r="G37" s="148">
        <v>-1912.3244145775534</v>
      </c>
      <c r="H37" s="148">
        <v>1017.0236450000083</v>
      </c>
      <c r="I37" s="139"/>
      <c r="J37" s="52"/>
      <c r="O37" s="13"/>
      <c r="AX37" s="658" t="str">
        <f>CountryCode &amp; ".T2.B9_OB1.S1313.MNAC." &amp; RefVintage</f>
        <v>HU.T2.B9_OB1.S1313.MNAC.W.2019</v>
      </c>
    </row>
    <row r="38" spans="1:256">
      <c r="A38" s="176" t="s">
        <v>258</v>
      </c>
      <c r="B38" s="490" t="s">
        <v>999</v>
      </c>
      <c r="C38" s="147" t="s">
        <v>1296</v>
      </c>
      <c r="D38" s="148">
        <v>-1126</v>
      </c>
      <c r="E38" s="148">
        <v>-381</v>
      </c>
      <c r="F38" s="148">
        <v>-1163</v>
      </c>
      <c r="G38" s="148">
        <v>-1236.5874999999994</v>
      </c>
      <c r="H38" s="148">
        <v>0</v>
      </c>
      <c r="I38" s="139"/>
      <c r="J38" s="52"/>
      <c r="O38" s="13"/>
      <c r="AX38" s="658" t="str">
        <f>CountryCode &amp; ".T2.B9_OB2.S1313.MNAC." &amp; RefVintage</f>
        <v>HU.T2.B9_OB2.S1313.MNAC.W.2019</v>
      </c>
    </row>
    <row r="39" spans="1:256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256">
      <c r="A40" s="340" t="s">
        <v>259</v>
      </c>
      <c r="B40" s="490" t="s">
        <v>1008</v>
      </c>
      <c r="C40" s="370" t="s">
        <v>49</v>
      </c>
      <c r="D40" s="150">
        <v>1535</v>
      </c>
      <c r="E40" s="150">
        <v>2884</v>
      </c>
      <c r="F40" s="150">
        <v>2578</v>
      </c>
      <c r="G40" s="150">
        <v>2654.5</v>
      </c>
      <c r="H40" s="150">
        <v>0</v>
      </c>
      <c r="I40" s="137"/>
      <c r="J40" s="52"/>
      <c r="O40" s="13"/>
      <c r="AX40" s="658" t="str">
        <f>CountryCode &amp; ".T2.OA.S1313.MNAC." &amp; RefVintage</f>
        <v>HU.T2.OA.S1313.MNAC.W.2019</v>
      </c>
    </row>
    <row r="41" spans="1:256">
      <c r="A41" s="176" t="s">
        <v>260</v>
      </c>
      <c r="B41" s="490" t="s">
        <v>1009</v>
      </c>
      <c r="C41" s="147" t="s">
        <v>1297</v>
      </c>
      <c r="D41" s="148">
        <v>1535</v>
      </c>
      <c r="E41" s="148">
        <v>2884</v>
      </c>
      <c r="F41" s="148">
        <v>2578</v>
      </c>
      <c r="G41" s="148">
        <v>2654.5</v>
      </c>
      <c r="H41" s="148">
        <v>0</v>
      </c>
      <c r="I41" s="139"/>
      <c r="J41" s="52"/>
      <c r="O41" s="13"/>
      <c r="AX41" s="658" t="str">
        <f>CountryCode &amp; ".T2.OA1.S1313.MNAC." &amp; RefVintage</f>
        <v>HU.T2.OA1.S1313.MNAC.W.2019</v>
      </c>
    </row>
    <row r="42" spans="1:256">
      <c r="A42" s="176" t="s">
        <v>261</v>
      </c>
      <c r="B42" s="490" t="s">
        <v>1010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".T2.OA2.S1313.MNAC." &amp; RefVintage</f>
        <v>HU.T2.OA2.S1313.MNAC.W.2019</v>
      </c>
    </row>
    <row r="43" spans="1:256">
      <c r="A43" s="176" t="s">
        <v>262</v>
      </c>
      <c r="B43" s="490" t="s">
        <v>1011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".T2.OA3.S1313.MNAC." &amp; RefVintage</f>
        <v>HU.T2.OA3.S1313.MNAC.W.2019</v>
      </c>
    </row>
    <row r="44" spans="1:256" ht="16.5" thickBot="1">
      <c r="A44" s="340"/>
      <c r="B44" s="167"/>
      <c r="C44" s="179"/>
      <c r="D44" s="144"/>
      <c r="E44" s="145"/>
      <c r="F44" s="145"/>
      <c r="G44" s="145"/>
      <c r="H44" s="145"/>
      <c r="I44" s="3"/>
      <c r="J44" s="52"/>
      <c r="O44" s="13"/>
    </row>
    <row r="45" spans="1:256" ht="17.25" thickTop="1" thickBot="1">
      <c r="A45" s="340" t="s">
        <v>263</v>
      </c>
      <c r="B45" s="490" t="s">
        <v>1014</v>
      </c>
      <c r="C45" s="374" t="s">
        <v>772</v>
      </c>
      <c r="D45" s="91">
        <v>60581.035500000056</v>
      </c>
      <c r="E45" s="91">
        <v>102474.97255859978</v>
      </c>
      <c r="F45" s="91">
        <v>18290.081457999884</v>
      </c>
      <c r="G45" s="91">
        <v>-42372.707736677716</v>
      </c>
      <c r="H45" s="91">
        <v>-91570.776355000096</v>
      </c>
      <c r="I45" s="4"/>
      <c r="J45" s="51"/>
      <c r="O45" s="13"/>
      <c r="AX45" s="658" t="str">
        <f>CountryCode &amp; ".T2.B9.S1313.MNAC." &amp; RefVintage</f>
        <v>HU.T2.B9.S1313.MNAC.W.2019</v>
      </c>
    </row>
    <row r="46" spans="1:256" ht="16.5" thickTop="1">
      <c r="A46" s="292"/>
      <c r="B46" s="279"/>
      <c r="C46" s="375" t="s">
        <v>471</v>
      </c>
      <c r="D46" s="35"/>
      <c r="E46" s="26"/>
      <c r="F46" s="26"/>
      <c r="G46" s="24"/>
      <c r="H46" s="229"/>
      <c r="I46" s="26"/>
      <c r="J46" s="52"/>
      <c r="K46" s="13"/>
    </row>
    <row r="47" spans="1:256" ht="9" customHeight="1">
      <c r="A47" s="292"/>
      <c r="B47" s="279"/>
      <c r="C47" s="186"/>
      <c r="D47" s="59"/>
      <c r="E47" s="26"/>
      <c r="F47" s="26"/>
      <c r="G47" s="26"/>
      <c r="H47" s="230"/>
      <c r="I47" s="26"/>
      <c r="J47" s="52"/>
      <c r="K47" s="13"/>
    </row>
    <row r="48" spans="1:256" s="23" customFormat="1">
      <c r="A48" s="292"/>
      <c r="B48" s="293"/>
      <c r="C48" s="376" t="s">
        <v>90</v>
      </c>
      <c r="D48" s="27"/>
      <c r="E48" s="27"/>
      <c r="F48" s="27"/>
      <c r="G48" s="27"/>
      <c r="H48" s="231"/>
      <c r="I48" s="27"/>
      <c r="J48" s="5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662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12" ht="26.25">
      <c r="A49" s="292"/>
      <c r="B49" s="279"/>
      <c r="C49" s="272" t="s">
        <v>93</v>
      </c>
      <c r="D49" s="245"/>
      <c r="E49" s="411"/>
      <c r="F49" s="26"/>
      <c r="G49" s="171"/>
      <c r="H49" s="230"/>
      <c r="I49" s="26"/>
      <c r="J49" s="52"/>
      <c r="K49" s="13"/>
    </row>
    <row r="50" spans="1:12" ht="12" customHeight="1" thickBot="1">
      <c r="A50" s="399"/>
      <c r="B50" s="400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8" t="str">
        <f>IF(COUNTA(D8:G8,D11:G16,D20:G20,D24:G24,D26:G26,D30:G30,D35:G36,D40:G40,D45:G45)/60*100=100,"OK - Table 2C is fully completed","WARNING - Table 2C is not fully completed, please fill in figure, L, M or 0")</f>
        <v>OK - Table 2C is fully completed</v>
      </c>
      <c r="E53" s="698"/>
      <c r="F53" s="698"/>
      <c r="G53" s="698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551</v>
      </c>
      <c r="D55" s="381">
        <f>IF(D45="M",0,D45)-IF(D8="M",0,D8)-IF(D11="M",0,D11)-IF(D20="M",0,D20)-IF(D24="M",0,D24)-IF(D26="M",0,D26)-IF(D30="M",0,D30)-IF(D35="M",0,D35)-IF(D36="M",0,D36)-IF(D40="M",0,D40)</f>
        <v>0</v>
      </c>
      <c r="E55" s="381">
        <f>IF(E45="M",0,E45)-IF(E8="M",0,E8)-IF(E11="M",0,E11)-IF(E20="M",0,E20)-IF(E24="M",0,E24)-IF(E26="M",0,E26)-IF(E30="M",0,E30)-IF(E35="M",0,E35)-IF(E36="M",0,E36)-IF(E40="M",0,E40)</f>
        <v>0</v>
      </c>
      <c r="F55" s="381">
        <f>IF(F45="M",0,F45)-IF(F8="M",0,F8)-IF(F11="M",0,F11)-IF(F20="M",0,F20)-IF(F24="M",0,F24)-IF(F26="M",0,F26)-IF(F30="M",0,F30)-IF(F35="M",0,F35)-IF(F36="M",0,F36)-IF(F40="M",0,F40)</f>
        <v>0</v>
      </c>
      <c r="G55" s="381">
        <f>IF(G45="M",0,G45)-IF(G8="M",0,G8)-IF(G11="M",0,G11)-IF(G20="M",0,G20)-IF(G24="M",0,G24)-IF(G26="M",0,G26)-IF(G30="M",0,G30)-IF(G35="M",0,G35)-IF(G36="M",0,G36)-IF(G40="M",0,G40)</f>
        <v>-3.8198777474462986E-11</v>
      </c>
      <c r="H55" s="393">
        <f>IF(H45="M",0,H45)-IF(H8="M",0,H8)-IF(H11="M",0,H11)-IF(H20="M",0,H20)-IF(H24="M",0,H24)-IF(H26="M",0,H26)-IF(H30="M",0,H30)-IF(H35="M",0,H35)-IF(H36="M",0,H36)-IF(H40="M",0,H40)</f>
        <v>1.1368683772161603E-13</v>
      </c>
      <c r="I55" s="243"/>
      <c r="J55" s="244"/>
    </row>
    <row r="56" spans="1:12">
      <c r="A56" s="26"/>
      <c r="C56" s="380" t="s">
        <v>149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150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151</v>
      </c>
      <c r="D59" s="249">
        <f>IF('Table 1'!E13="M",0,'Table 1'!E13)-IF('Table 2C'!D45="M",0,'Table 2C'!D45)</f>
        <v>0</v>
      </c>
      <c r="E59" s="249">
        <f>IF('Table 1'!F13="M",0,'Table 1'!F13)-IF('Table 2C'!E45="M",0,'Table 2C'!E45)</f>
        <v>0</v>
      </c>
      <c r="F59" s="249">
        <f>IF('Table 1'!G13="M",0,'Table 1'!G13)-IF('Table 2C'!F45="M",0,'Table 2C'!F45)</f>
        <v>0</v>
      </c>
      <c r="G59" s="249">
        <f>IF('Table 1'!H13="M",0,'Table 1'!H13)-IF('Table 2C'!G45="M",0,'Table 2C'!G45)</f>
        <v>0</v>
      </c>
      <c r="H59" s="395">
        <f>IF('Table 1'!I13="M",0,'Table 1'!I13)-IF('Table 2C'!H45="M",0,'Table 2C'!H45)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21" priority="4" stopIfTrue="1">
      <formula>COUNTA(D8:G8,D11:G16,D20:G20,D24:G24,D26:G26,D30:G30,D35:G36,D40:G40,D45:G45)/60*100&lt;&gt;100</formula>
    </cfRule>
  </conditionalFormatting>
  <conditionalFormatting sqref="D8:G8 D11:G16 D20:G20 D24:G24 D26:G26 D30:G30 D35:G36 D40:G40 D45:G45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0 H35:H36 H40 H45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1219</v>
      </c>
    </row>
    <row r="3" spans="1:50" ht="16.5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398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58"/>
      <c r="J5" s="61"/>
      <c r="O5" s="13"/>
    </row>
    <row r="6" spans="1:50">
      <c r="A6" s="282"/>
      <c r="B6" s="338"/>
      <c r="C6" s="286" t="str">
        <f>'Cover page'!E14</f>
        <v>Date: 29/03/2019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0" t="s">
        <v>940</v>
      </c>
      <c r="C8" s="368" t="s">
        <v>52</v>
      </c>
      <c r="D8" s="89">
        <v>-25522.900000000373</v>
      </c>
      <c r="E8" s="90">
        <v>-76921.400000000373</v>
      </c>
      <c r="F8" s="90">
        <v>-142890.20000000019</v>
      </c>
      <c r="G8" s="90">
        <v>-83903.099999999627</v>
      </c>
      <c r="H8" s="90">
        <v>-185250.89999999944</v>
      </c>
      <c r="I8" s="11"/>
      <c r="J8" s="51"/>
      <c r="O8" s="13"/>
      <c r="AX8" s="658" t="str">
        <f>CountryCode &amp; ".T2.WB.S1314.MNAC." &amp; RefVintage</f>
        <v>HU.T2.WB.S1314.MNAC.W.2019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452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HU.T2.WB_STATUS.S1314.MNAC.W.2019</v>
      </c>
    </row>
    <row r="11" spans="1:50">
      <c r="A11" s="340" t="s">
        <v>265</v>
      </c>
      <c r="B11" s="490" t="s">
        <v>941</v>
      </c>
      <c r="C11" s="370" t="s">
        <v>94</v>
      </c>
      <c r="D11" s="136">
        <v>-62.813000000000002</v>
      </c>
      <c r="E11" s="136">
        <v>-44.267128999999997</v>
      </c>
      <c r="F11" s="136">
        <v>-20.331517999999999</v>
      </c>
      <c r="G11" s="136">
        <v>1216.7324599999999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HU.T2.FT.S1314.MNAC.W.2019</v>
      </c>
    </row>
    <row r="12" spans="1:50">
      <c r="A12" s="340" t="s">
        <v>266</v>
      </c>
      <c r="B12" s="490" t="s">
        <v>942</v>
      </c>
      <c r="C12" s="371" t="s">
        <v>53</v>
      </c>
      <c r="D12" s="136">
        <v>-62.813000000000002</v>
      </c>
      <c r="E12" s="136">
        <v>-47.114927999999999</v>
      </c>
      <c r="F12" s="136">
        <v>-21.561416999999999</v>
      </c>
      <c r="G12" s="136">
        <v>0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HU.T2.F4.S1314.MNAC.W.2019</v>
      </c>
    </row>
    <row r="13" spans="1:50">
      <c r="A13" s="340" t="s">
        <v>267</v>
      </c>
      <c r="B13" s="490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HU.T2.F5.S1314.MNAC.W.2019</v>
      </c>
    </row>
    <row r="14" spans="1:50">
      <c r="A14" s="340" t="s">
        <v>268</v>
      </c>
      <c r="B14" s="490" t="s">
        <v>944</v>
      </c>
      <c r="C14" s="372" t="s">
        <v>35</v>
      </c>
      <c r="D14" s="136" t="s">
        <v>1235</v>
      </c>
      <c r="E14" s="136">
        <v>2.8477990000000002</v>
      </c>
      <c r="F14" s="136">
        <v>1.2298990000000001</v>
      </c>
      <c r="G14" s="136">
        <v>1216.7324599999999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HU.T2.OFT.S1314.MNAC.W.2019</v>
      </c>
    </row>
    <row r="15" spans="1:50" ht="16.5" thickBot="1">
      <c r="A15" s="340" t="s">
        <v>269</v>
      </c>
      <c r="B15" s="490" t="s">
        <v>945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136" t="s">
        <v>1235</v>
      </c>
      <c r="I15" s="137"/>
      <c r="J15" s="52"/>
      <c r="O15" s="13"/>
      <c r="AX15" s="658" t="str">
        <f>CountryCode &amp; ".T2.OFTDL.S1314.MNAC." &amp; RefVintage</f>
        <v>HU.T2.OFTDL.S1314.MNAC.W.2019</v>
      </c>
    </row>
    <row r="16" spans="1:50" ht="16.5" thickBot="1">
      <c r="A16" s="341" t="s">
        <v>488</v>
      </c>
      <c r="B16" s="490" t="s">
        <v>946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136" t="s">
        <v>1235</v>
      </c>
      <c r="I16" s="137"/>
      <c r="J16" s="52"/>
      <c r="O16" s="13"/>
      <c r="AX16" s="658" t="str">
        <f>CountryCode &amp; ".T2.F71K.S1314.MNAC." &amp; RefVintage</f>
        <v>HU.T2.F71K.S1314.MNAC.W.2019</v>
      </c>
    </row>
    <row r="17" spans="1:50">
      <c r="A17" s="176" t="s">
        <v>270</v>
      </c>
      <c r="B17" s="490" t="s">
        <v>947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HU.T2.OFT1.S1314.MNAC.W.2019</v>
      </c>
    </row>
    <row r="18" spans="1:50">
      <c r="A18" s="176" t="s">
        <v>271</v>
      </c>
      <c r="B18" s="490" t="s">
        <v>948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HU.T2.OFT2.S1314.MNAC.W.2019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0" t="s">
        <v>961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150" t="s">
        <v>1235</v>
      </c>
      <c r="I20" s="137"/>
      <c r="J20" s="52"/>
      <c r="O20" s="13"/>
      <c r="AX20" s="658" t="str">
        <f>CountryCode &amp; ".T2.ONFT.S1314.MNAC." &amp; RefVintage</f>
        <v>HU.T2.ONFT.S1314.MNAC.W.2019</v>
      </c>
    </row>
    <row r="21" spans="1:50">
      <c r="A21" s="176" t="s">
        <v>273</v>
      </c>
      <c r="B21" s="490" t="s">
        <v>962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HU.T2.ONFT1.S1314.MNAC.W.2019</v>
      </c>
    </row>
    <row r="22" spans="1:50">
      <c r="A22" s="176" t="s">
        <v>274</v>
      </c>
      <c r="B22" s="490" t="s">
        <v>963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HU.T2.ONFT2.S1314.MNAC.W.2019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0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HU.T2.D41DIF.S1314.MNAC.W.2019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0" t="s">
        <v>973</v>
      </c>
      <c r="C26" s="370" t="s">
        <v>48</v>
      </c>
      <c r="D26" s="150">
        <v>27746.148999999928</v>
      </c>
      <c r="E26" s="150">
        <v>10978.243612000038</v>
      </c>
      <c r="F26" s="150">
        <v>15599.016756999921</v>
      </c>
      <c r="G26" s="150">
        <v>24591.499486999965</v>
      </c>
      <c r="H26" s="150">
        <v>16071.10000000002</v>
      </c>
      <c r="I26" s="137"/>
      <c r="J26" s="52"/>
      <c r="O26" s="13"/>
      <c r="AX26" s="658" t="str">
        <f>CountryCode &amp; ".T2.F8ASS.S1314.MNAC." &amp; RefVintage</f>
        <v>HU.T2.F8ASS.S1314.MNAC.W.2019</v>
      </c>
    </row>
    <row r="27" spans="1:50">
      <c r="A27" s="176" t="s">
        <v>553</v>
      </c>
      <c r="B27" s="490" t="s">
        <v>974</v>
      </c>
      <c r="C27" s="147" t="s">
        <v>1292</v>
      </c>
      <c r="D27" s="148">
        <v>50</v>
      </c>
      <c r="E27" s="148">
        <v>0</v>
      </c>
      <c r="F27" s="148">
        <v>0</v>
      </c>
      <c r="G27" s="148" t="s">
        <v>667</v>
      </c>
      <c r="H27" s="148"/>
      <c r="I27" s="139"/>
      <c r="J27" s="52"/>
      <c r="O27" s="13"/>
      <c r="AX27" s="658" t="str">
        <f>CountryCode &amp; ".T2.F8ASS1.S1314.MNAC." &amp; RefVintage</f>
        <v>HU.T2.F8ASS1.S1314.MNAC.W.2019</v>
      </c>
    </row>
    <row r="28" spans="1:50">
      <c r="A28" s="176"/>
      <c r="B28" s="490" t="s">
        <v>975</v>
      </c>
      <c r="C28" s="147" t="s">
        <v>1300</v>
      </c>
      <c r="D28" s="148">
        <v>1803</v>
      </c>
      <c r="E28" s="148">
        <v>-1631</v>
      </c>
      <c r="F28" s="148">
        <v>3388</v>
      </c>
      <c r="G28" s="148">
        <v>2710.1000000000004</v>
      </c>
      <c r="H28" s="148">
        <v>-1327.9999999999995</v>
      </c>
      <c r="I28" s="139"/>
      <c r="J28" s="52"/>
      <c r="O28" s="13"/>
    </row>
    <row r="29" spans="1:50">
      <c r="A29" s="176"/>
      <c r="B29" s="490" t="s">
        <v>1298</v>
      </c>
      <c r="C29" s="147" t="s">
        <v>1241</v>
      </c>
      <c r="D29" s="148">
        <v>26854</v>
      </c>
      <c r="E29" s="148">
        <v>14935</v>
      </c>
      <c r="F29" s="148">
        <v>19942</v>
      </c>
      <c r="G29" s="148">
        <v>20648</v>
      </c>
      <c r="H29" s="148">
        <v>17399.10000000002</v>
      </c>
      <c r="I29" s="139"/>
      <c r="J29" s="52"/>
      <c r="O29" s="13"/>
    </row>
    <row r="30" spans="1:50">
      <c r="A30" s="176" t="s">
        <v>554</v>
      </c>
      <c r="B30" s="490" t="s">
        <v>1299</v>
      </c>
      <c r="C30" s="147" t="s">
        <v>1243</v>
      </c>
      <c r="D30" s="148">
        <v>-960.85100000007151</v>
      </c>
      <c r="E30" s="148">
        <v>-2325.7563879999616</v>
      </c>
      <c r="F30" s="148">
        <v>-7730.9832430000788</v>
      </c>
      <c r="G30" s="148">
        <v>1233.3994869999678</v>
      </c>
      <c r="H30" s="148">
        <v>0</v>
      </c>
      <c r="I30" s="686" t="s">
        <v>1290</v>
      </c>
      <c r="J30" s="52"/>
      <c r="O30" s="13"/>
      <c r="AX30" s="658" t="str">
        <f>CountryCode &amp; ".T2.F8ASS2.S1314.MNAC." &amp; RefVintage</f>
        <v>HU.T2.F8ASS2.S1314.MNAC.W.2019</v>
      </c>
    </row>
    <row r="31" spans="1:50">
      <c r="A31" s="340" t="s">
        <v>555</v>
      </c>
      <c r="B31" s="490" t="s">
        <v>982</v>
      </c>
      <c r="C31" s="370" t="s">
        <v>47</v>
      </c>
      <c r="D31" s="150">
        <v>738</v>
      </c>
      <c r="E31" s="150">
        <v>76</v>
      </c>
      <c r="F31" s="150">
        <v>1735.4724239999998</v>
      </c>
      <c r="G31" s="150">
        <v>-1008.7046580000001</v>
      </c>
      <c r="H31" s="150">
        <v>-386.59999999999997</v>
      </c>
      <c r="I31" s="137"/>
      <c r="J31" s="52"/>
      <c r="O31" s="13"/>
      <c r="AX31" s="658" t="str">
        <f>CountryCode &amp; ".T2.F8LIA.S1314.MNAC." &amp; RefVintage</f>
        <v>HU.T2.F8LIA.S1314.MNAC.W.2019</v>
      </c>
    </row>
    <row r="32" spans="1:50">
      <c r="A32" s="176" t="s">
        <v>556</v>
      </c>
      <c r="B32" s="490" t="s">
        <v>983</v>
      </c>
      <c r="C32" s="147" t="s">
        <v>1301</v>
      </c>
      <c r="D32" s="148">
        <v>587</v>
      </c>
      <c r="E32" s="148">
        <v>68</v>
      </c>
      <c r="F32" s="148">
        <v>1047</v>
      </c>
      <c r="G32" s="148">
        <v>-904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HU.T2.F8LIA1.S1314.MNAC.W.2019</v>
      </c>
    </row>
    <row r="33" spans="1:50">
      <c r="A33" s="176" t="s">
        <v>557</v>
      </c>
      <c r="B33" s="490" t="s">
        <v>984</v>
      </c>
      <c r="C33" s="147" t="s">
        <v>1302</v>
      </c>
      <c r="D33" s="148">
        <v>151</v>
      </c>
      <c r="E33" s="148">
        <v>8</v>
      </c>
      <c r="F33" s="148">
        <v>688.47242399999982</v>
      </c>
      <c r="G33" s="148">
        <v>-104.70465800000005</v>
      </c>
      <c r="H33" s="148">
        <v>-386.59999999999997</v>
      </c>
      <c r="I33" s="139"/>
      <c r="J33" s="52"/>
      <c r="O33" s="13"/>
      <c r="AX33" s="658" t="str">
        <f>CountryCode &amp; ".T2.F8LIA2.S1314.MNAC." &amp; RefVintage</f>
        <v>HU.T2.F8LIA2.S1314.MNAC.W.2019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0" t="s">
        <v>992</v>
      </c>
      <c r="C35" s="370" t="s">
        <v>79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150" t="s">
        <v>1235</v>
      </c>
      <c r="I35" s="137"/>
      <c r="J35" s="52"/>
      <c r="O35" s="13"/>
      <c r="AX35" s="658" t="str">
        <f>CountryCode &amp; ".T2.B9_OWB.S1314.MNAC." &amp; RefVintage</f>
        <v>HU.T2.B9_OWB.S1314.MNAC.W.2019</v>
      </c>
    </row>
    <row r="36" spans="1:50">
      <c r="A36" s="340" t="s">
        <v>277</v>
      </c>
      <c r="B36" s="490" t="s">
        <v>993</v>
      </c>
      <c r="C36" s="370" t="s">
        <v>789</v>
      </c>
      <c r="D36" s="150" t="s">
        <v>1235</v>
      </c>
      <c r="E36" s="150" t="s">
        <v>1235</v>
      </c>
      <c r="F36" s="150" t="s">
        <v>1235</v>
      </c>
      <c r="G36" s="150" t="s">
        <v>1235</v>
      </c>
      <c r="H36" s="150" t="s">
        <v>1235</v>
      </c>
      <c r="I36" s="137"/>
      <c r="J36" s="52"/>
      <c r="O36" s="13"/>
      <c r="AX36" s="658" t="str">
        <f>CountryCode &amp; ".T2.B9_OB.S1314.MNAC." &amp; RefVintage</f>
        <v>HU.T2.B9_OB.S1314.MNAC.W.2019</v>
      </c>
    </row>
    <row r="37" spans="1:50">
      <c r="A37" s="176" t="s">
        <v>278</v>
      </c>
      <c r="B37" s="490" t="s">
        <v>994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HU.T2.B9_OB1.S1314.MNAC.W.2019</v>
      </c>
    </row>
    <row r="38" spans="1:50">
      <c r="A38" s="176" t="s">
        <v>279</v>
      </c>
      <c r="B38" s="490" t="s">
        <v>995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HU.T2.B9_OB2.S1314.MNAC.W.2019</v>
      </c>
    </row>
    <row r="39" spans="1:50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0" t="s">
        <v>1004</v>
      </c>
      <c r="C40" s="370" t="s">
        <v>49</v>
      </c>
      <c r="D40" s="150">
        <v>6300</v>
      </c>
      <c r="E40" s="150">
        <v>39327</v>
      </c>
      <c r="F40" s="150">
        <v>102052</v>
      </c>
      <c r="G40" s="150">
        <v>153156.4</v>
      </c>
      <c r="H40" s="150">
        <v>19133.129187357321</v>
      </c>
      <c r="I40" s="137"/>
      <c r="J40" s="52"/>
      <c r="O40" s="13"/>
      <c r="AX40" s="658" t="str">
        <f>CountryCode &amp; ".T2.OA.S1314.MNAC." &amp; RefVintage</f>
        <v>HU.T2.OA.S1314.MNAC.W.2019</v>
      </c>
    </row>
    <row r="41" spans="1:50">
      <c r="A41" s="176" t="s">
        <v>281</v>
      </c>
      <c r="B41" s="490" t="s">
        <v>1005</v>
      </c>
      <c r="C41" s="147" t="s">
        <v>1303</v>
      </c>
      <c r="D41" s="148">
        <v>0</v>
      </c>
      <c r="E41" s="148">
        <v>30083</v>
      </c>
      <c r="F41" s="148">
        <v>89693</v>
      </c>
      <c r="G41" s="148">
        <v>137503.4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HU.T2.OA1.S1314.MNAC.W.2019</v>
      </c>
    </row>
    <row r="42" spans="1:50">
      <c r="A42" s="176" t="s">
        <v>282</v>
      </c>
      <c r="B42" s="490" t="s">
        <v>1006</v>
      </c>
      <c r="C42" s="147" t="s">
        <v>1304</v>
      </c>
      <c r="D42" s="148">
        <v>6300</v>
      </c>
      <c r="E42" s="148">
        <v>9244</v>
      </c>
      <c r="F42" s="148">
        <v>12359</v>
      </c>
      <c r="G42" s="148">
        <v>15653</v>
      </c>
      <c r="H42" s="148">
        <v>19133.129187357321</v>
      </c>
      <c r="I42" s="139"/>
      <c r="J42" s="52"/>
      <c r="O42" s="13"/>
      <c r="AX42" s="658" t="str">
        <f>CountryCode &amp; ".T2.OA2.S1314.MNAC." &amp; RefVintage</f>
        <v>HU.T2.OA2.S1314.MNAC.W.2019</v>
      </c>
    </row>
    <row r="43" spans="1:50">
      <c r="A43" s="176" t="s">
        <v>283</v>
      </c>
      <c r="B43" s="490" t="s">
        <v>1007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HU.T2.OA3.S1314.MNAC.W.2019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0" t="s">
        <v>1013</v>
      </c>
      <c r="C45" s="180" t="s">
        <v>773</v>
      </c>
      <c r="D45" s="91">
        <v>9198.4359999995577</v>
      </c>
      <c r="E45" s="91">
        <v>-26584.423517000338</v>
      </c>
      <c r="F45" s="91">
        <v>-23524.042337000254</v>
      </c>
      <c r="G45" s="91">
        <v>94052.827289000328</v>
      </c>
      <c r="H45" s="91">
        <v>-150433.27081264209</v>
      </c>
      <c r="I45" s="4"/>
      <c r="J45" s="51"/>
      <c r="O45" s="13"/>
      <c r="AX45" s="658" t="str">
        <f>CountryCode &amp; ".T2.B9.S1314.MNAC." &amp; RefVintage</f>
        <v>HU.T2.B9.S1314.MNAC.W.2019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8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8"/>
      <c r="F53" s="698"/>
      <c r="G53" s="698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8" customWidth="1"/>
    <col min="51" max="16384" width="9.7773437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1219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699" t="s">
        <v>2</v>
      </c>
      <c r="F6" s="699"/>
      <c r="G6" s="352"/>
      <c r="H6" s="44"/>
      <c r="I6" s="52"/>
    </row>
    <row r="7" spans="1:50" ht="15.75">
      <c r="A7" s="282"/>
      <c r="B7" s="398" t="s">
        <v>1210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29/03/2019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1015</v>
      </c>
      <c r="C10" s="374" t="s">
        <v>774</v>
      </c>
      <c r="D10" s="689">
        <v>653828.63656400028</v>
      </c>
      <c r="E10" s="689">
        <v>584415.35472040041</v>
      </c>
      <c r="F10" s="689">
        <v>844596.19723600149</v>
      </c>
      <c r="G10" s="689">
        <v>934343.44671128597</v>
      </c>
      <c r="H10" s="4"/>
      <c r="I10" s="52"/>
      <c r="AX10" s="658" t="str">
        <f>CountryCode &amp; ".T3.B9.S13.MNAC." &amp; RefVintage</f>
        <v>HU.T3.B9.S13.MNAC.W.2019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1016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386769.99999999994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334015</v>
      </c>
      <c r="F12" s="259">
        <f t="shared" si="0"/>
        <v>191203</v>
      </c>
      <c r="G12" s="259">
        <f t="shared" si="0"/>
        <v>338790</v>
      </c>
      <c r="H12" s="108"/>
      <c r="I12" s="68"/>
      <c r="AX12" s="659" t="str">
        <f>CountryCode &amp; ".T3.FA.S13.MNAC." &amp; RefVintage</f>
        <v>HU.T3.FA.S13.MNAC.W.2019</v>
      </c>
    </row>
    <row r="13" spans="1:50" s="18" customFormat="1" ht="16.5" customHeight="1">
      <c r="A13" s="340" t="s">
        <v>287</v>
      </c>
      <c r="B13" s="490" t="s">
        <v>1017</v>
      </c>
      <c r="C13" s="428" t="s">
        <v>62</v>
      </c>
      <c r="D13" s="109">
        <v>-282318</v>
      </c>
      <c r="E13" s="109">
        <v>707243</v>
      </c>
      <c r="F13" s="109">
        <v>-234319</v>
      </c>
      <c r="G13" s="109">
        <v>376963</v>
      </c>
      <c r="H13" s="108"/>
      <c r="I13" s="68"/>
      <c r="AX13" s="659" t="str">
        <f>CountryCode &amp; ".T3.F2.S13.MNAC." &amp; RefVintage</f>
        <v>HU.T3.F2.S13.MNAC.W.2019</v>
      </c>
    </row>
    <row r="14" spans="1:50" s="18" customFormat="1" ht="16.5" customHeight="1">
      <c r="A14" s="340" t="s">
        <v>288</v>
      </c>
      <c r="B14" s="490" t="s">
        <v>1018</v>
      </c>
      <c r="C14" s="428" t="s">
        <v>472</v>
      </c>
      <c r="D14" s="109">
        <v>-556</v>
      </c>
      <c r="E14" s="109">
        <v>-33089</v>
      </c>
      <c r="F14" s="109">
        <v>-3179</v>
      </c>
      <c r="G14" s="109">
        <v>-9719</v>
      </c>
      <c r="H14" s="108"/>
      <c r="I14" s="68"/>
      <c r="AX14" s="659" t="str">
        <f>CountryCode &amp; ".T3.F3.S13.MNAC." &amp; RefVintage</f>
        <v>HU.T3.F3.S13.MNAC.W.2019</v>
      </c>
    </row>
    <row r="15" spans="1:50" s="18" customFormat="1" ht="16.5" customHeight="1">
      <c r="A15" s="340" t="s">
        <v>289</v>
      </c>
      <c r="B15" s="490" t="s">
        <v>1019</v>
      </c>
      <c r="C15" s="428" t="s">
        <v>37</v>
      </c>
      <c r="D15" s="109">
        <v>289623</v>
      </c>
      <c r="E15" s="109">
        <v>112540</v>
      </c>
      <c r="F15" s="109">
        <v>126623</v>
      </c>
      <c r="G15" s="109">
        <v>32585</v>
      </c>
      <c r="H15" s="108"/>
      <c r="I15" s="68"/>
      <c r="AX15" s="659" t="str">
        <f>CountryCode &amp; ".T3.F4.S13.MNAC." &amp; RefVintage</f>
        <v>HU.T3.F4.S13.MNAC.W.2019</v>
      </c>
    </row>
    <row r="16" spans="1:50" s="18" customFormat="1" ht="16.5" customHeight="1">
      <c r="A16" s="340" t="s">
        <v>290</v>
      </c>
      <c r="B16" s="490" t="s">
        <v>1020</v>
      </c>
      <c r="C16" s="429" t="s">
        <v>87</v>
      </c>
      <c r="D16" s="110">
        <v>560004.17299999972</v>
      </c>
      <c r="E16" s="111">
        <v>518508.20074200019</v>
      </c>
      <c r="F16" s="111">
        <v>489774.74319800048</v>
      </c>
      <c r="G16" s="112">
        <v>413195.76657400001</v>
      </c>
      <c r="H16" s="108"/>
      <c r="I16" s="68"/>
      <c r="AX16" s="659" t="str">
        <f>CountryCode &amp; ".T3.F4ACQ.S13.MNAC." &amp; RefVintage</f>
        <v>HU.T3.F4ACQ.S13.MNAC.W.2019</v>
      </c>
    </row>
    <row r="17" spans="1:50" s="18" customFormat="1" ht="16.5" customHeight="1">
      <c r="A17" s="340" t="s">
        <v>291</v>
      </c>
      <c r="B17" s="490" t="s">
        <v>1021</v>
      </c>
      <c r="C17" s="429" t="s">
        <v>88</v>
      </c>
      <c r="D17" s="113">
        <v>-270381.17299999972</v>
      </c>
      <c r="E17" s="114">
        <v>-405968.20074200019</v>
      </c>
      <c r="F17" s="114">
        <v>-363151.74319800048</v>
      </c>
      <c r="G17" s="115">
        <v>-380610.76657400001</v>
      </c>
      <c r="H17" s="108"/>
      <c r="I17" s="68"/>
      <c r="AX17" s="659" t="str">
        <f>CountryCode &amp; ".T3.F4DIS.S13.MNAC." &amp; RefVintage</f>
        <v>HU.T3.F4DIS.S13.MNAC.W.2019</v>
      </c>
    </row>
    <row r="18" spans="1:50" s="18" customFormat="1" ht="16.5" customHeight="1">
      <c r="A18" s="340" t="s">
        <v>292</v>
      </c>
      <c r="B18" s="490" t="s">
        <v>1022</v>
      </c>
      <c r="C18" s="430" t="s">
        <v>443</v>
      </c>
      <c r="D18" s="109">
        <v>-18211</v>
      </c>
      <c r="E18" s="109">
        <v>3621</v>
      </c>
      <c r="F18" s="109">
        <v>5019</v>
      </c>
      <c r="G18" s="109">
        <v>6710</v>
      </c>
      <c r="H18" s="108"/>
      <c r="I18" s="68"/>
      <c r="AX18" s="659" t="str">
        <f>CountryCode &amp; ".T3.F41.S13.MNAC." &amp; RefVintage</f>
        <v>HU.T3.F41.S13.MNAC.W.2019</v>
      </c>
    </row>
    <row r="19" spans="1:50" s="18" customFormat="1" ht="16.5" customHeight="1">
      <c r="A19" s="340" t="s">
        <v>293</v>
      </c>
      <c r="B19" s="490" t="s">
        <v>1023</v>
      </c>
      <c r="C19" s="430" t="s">
        <v>444</v>
      </c>
      <c r="D19" s="109">
        <v>307834</v>
      </c>
      <c r="E19" s="109">
        <v>108919</v>
      </c>
      <c r="F19" s="109">
        <v>121604</v>
      </c>
      <c r="G19" s="109">
        <v>25875</v>
      </c>
      <c r="H19" s="108"/>
      <c r="I19" s="68"/>
      <c r="AX19" s="659" t="str">
        <f>CountryCode &amp; ".T3.F42.S13.MNAC." &amp; RefVintage</f>
        <v>HU.T3.F42.S13.MNAC.W.2019</v>
      </c>
    </row>
    <row r="20" spans="1:50" s="18" customFormat="1" ht="16.5" customHeight="1">
      <c r="A20" s="340" t="s">
        <v>294</v>
      </c>
      <c r="B20" s="490" t="s">
        <v>1024</v>
      </c>
      <c r="C20" s="431" t="s">
        <v>445</v>
      </c>
      <c r="D20" s="116">
        <v>560004.17299999995</v>
      </c>
      <c r="E20" s="117">
        <v>518508.20074200002</v>
      </c>
      <c r="F20" s="117">
        <v>489774.74319800001</v>
      </c>
      <c r="G20" s="118">
        <v>413195.76657400001</v>
      </c>
      <c r="H20" s="108"/>
      <c r="I20" s="68"/>
      <c r="AX20" s="659" t="str">
        <f>CountryCode &amp; ".T3.F42ACQ.S13.MNAC." &amp; RefVintage</f>
        <v>HU.T3.F42ACQ.S13.MNAC.W.2019</v>
      </c>
    </row>
    <row r="21" spans="1:50" s="18" customFormat="1" ht="16.5" customHeight="1">
      <c r="A21" s="340" t="s">
        <v>295</v>
      </c>
      <c r="B21" s="490" t="s">
        <v>1025</v>
      </c>
      <c r="C21" s="431" t="s">
        <v>446</v>
      </c>
      <c r="D21" s="119">
        <v>-252170.17299999995</v>
      </c>
      <c r="E21" s="120">
        <v>-409589.20074200002</v>
      </c>
      <c r="F21" s="120">
        <v>-368170.74319800001</v>
      </c>
      <c r="G21" s="121">
        <v>-387320.76657400001</v>
      </c>
      <c r="H21" s="108"/>
      <c r="I21" s="68"/>
      <c r="AX21" s="659" t="str">
        <f>CountryCode &amp; ".T3.F42DIS.S13.MNAC." &amp; RefVintage</f>
        <v>HU.T3.F42DIS.S13.MNAC.W.2019</v>
      </c>
    </row>
    <row r="22" spans="1:50" s="18" customFormat="1" ht="16.5" customHeight="1">
      <c r="A22" s="340" t="s">
        <v>296</v>
      </c>
      <c r="B22" s="490" t="s">
        <v>1026</v>
      </c>
      <c r="C22" s="428" t="s">
        <v>473</v>
      </c>
      <c r="D22" s="109">
        <v>132699</v>
      </c>
      <c r="E22" s="109">
        <v>13126</v>
      </c>
      <c r="F22" s="109">
        <v>57021</v>
      </c>
      <c r="G22" s="109">
        <v>22333</v>
      </c>
      <c r="H22" s="108"/>
      <c r="I22" s="68"/>
      <c r="AX22" s="659" t="str">
        <f>CountryCode &amp; ".T3.F5.S13.MNAC." &amp; RefVintage</f>
        <v>HU.T3.F5.S13.MNAC.W.2019</v>
      </c>
    </row>
    <row r="23" spans="1:50" s="18" customFormat="1" ht="16.5" customHeight="1">
      <c r="A23" s="340" t="s">
        <v>297</v>
      </c>
      <c r="B23" s="490" t="s">
        <v>1027</v>
      </c>
      <c r="C23" s="430" t="s">
        <v>447</v>
      </c>
      <c r="D23" s="109">
        <v>-81256</v>
      </c>
      <c r="E23" s="109">
        <v>-3517</v>
      </c>
      <c r="F23" s="109">
        <v>-3740</v>
      </c>
      <c r="G23" s="109">
        <v>-2603</v>
      </c>
      <c r="H23" s="108"/>
      <c r="I23" s="68"/>
      <c r="AX23" s="659" t="str">
        <f>CountryCode &amp; ".T3.F5PN.S13.MNAC." &amp; RefVintage</f>
        <v>HU.T3.F5PN.S13.MNAC.W.2019</v>
      </c>
    </row>
    <row r="24" spans="1:50" s="18" customFormat="1" ht="16.5" customHeight="1">
      <c r="A24" s="340" t="s">
        <v>298</v>
      </c>
      <c r="B24" s="490" t="s">
        <v>1028</v>
      </c>
      <c r="C24" s="430" t="s">
        <v>474</v>
      </c>
      <c r="D24" s="109">
        <v>213955</v>
      </c>
      <c r="E24" s="109">
        <v>16643</v>
      </c>
      <c r="F24" s="109">
        <v>60761</v>
      </c>
      <c r="G24" s="109">
        <v>24936</v>
      </c>
      <c r="H24" s="108"/>
      <c r="I24" s="68"/>
      <c r="AX24" s="659" t="str">
        <f>CountryCode &amp; ".T3.F5OP.S13.MNAC." &amp; RefVintage</f>
        <v>HU.T3.F5OP.S13.MNAC.W.2019</v>
      </c>
    </row>
    <row r="25" spans="1:50" s="18" customFormat="1" ht="16.5" customHeight="1">
      <c r="A25" s="340" t="s">
        <v>299</v>
      </c>
      <c r="B25" s="490" t="s">
        <v>1029</v>
      </c>
      <c r="C25" s="431" t="s">
        <v>445</v>
      </c>
      <c r="D25" s="122">
        <v>233898.3045</v>
      </c>
      <c r="E25" s="123">
        <v>118033.65651460001</v>
      </c>
      <c r="F25" s="123">
        <v>65184.968912249999</v>
      </c>
      <c r="G25" s="124">
        <v>38977.023304900002</v>
      </c>
      <c r="H25" s="108"/>
      <c r="I25" s="68"/>
      <c r="AX25" s="659" t="str">
        <f>CountryCode &amp; ".T3.F5OPACQ.S13.MNAC." &amp; RefVintage</f>
        <v>HU.T3.F5OPACQ.S13.MNAC.W.2019</v>
      </c>
    </row>
    <row r="26" spans="1:50" s="18" customFormat="1" ht="16.5" customHeight="1" thickBot="1">
      <c r="A26" s="340" t="s">
        <v>300</v>
      </c>
      <c r="B26" s="490" t="s">
        <v>1030</v>
      </c>
      <c r="C26" s="431" t="s">
        <v>446</v>
      </c>
      <c r="D26" s="122">
        <v>-19943.304499999998</v>
      </c>
      <c r="E26" s="123">
        <v>-101390.65651460001</v>
      </c>
      <c r="F26" s="123">
        <v>-4423.9689122499985</v>
      </c>
      <c r="G26" s="124">
        <v>-14041.0233049</v>
      </c>
      <c r="H26" s="108"/>
      <c r="I26" s="68"/>
      <c r="AX26" s="659" t="str">
        <f>CountryCode &amp; ".T3.F5OPDIS.S13.MNAC." &amp; RefVintage</f>
        <v>HU.T3.F5OPDIS.S13.MNAC.W.2019</v>
      </c>
    </row>
    <row r="27" spans="1:50" s="18" customFormat="1" ht="16.5" customHeight="1">
      <c r="A27" s="421" t="s">
        <v>490</v>
      </c>
      <c r="B27" s="596" t="s">
        <v>1031</v>
      </c>
      <c r="C27" s="428" t="s">
        <v>458</v>
      </c>
      <c r="D27" s="109">
        <v>-273927</v>
      </c>
      <c r="E27" s="109">
        <v>-130008.00000000001</v>
      </c>
      <c r="F27" s="109">
        <v>-162561</v>
      </c>
      <c r="G27" s="109">
        <v>-92393</v>
      </c>
      <c r="H27" s="108"/>
      <c r="I27" s="68"/>
      <c r="AX27" s="659" t="str">
        <f>CountryCode &amp; ".T3.F71.S13.MNAC." &amp; RefVintage</f>
        <v>HU.T3.F71.S13.MNAC.W.2019</v>
      </c>
    </row>
    <row r="28" spans="1:50" s="18" customFormat="1" ht="16.5" customHeight="1" thickBot="1">
      <c r="A28" s="422" t="s">
        <v>491</v>
      </c>
      <c r="B28" s="596" t="s">
        <v>1032</v>
      </c>
      <c r="C28" s="428" t="s">
        <v>461</v>
      </c>
      <c r="D28" s="109">
        <v>521294.99999999994</v>
      </c>
      <c r="E28" s="109">
        <v>-335661</v>
      </c>
      <c r="F28" s="109">
        <v>407656</v>
      </c>
      <c r="G28" s="109">
        <v>8799</v>
      </c>
      <c r="H28" s="108"/>
      <c r="I28" s="68"/>
      <c r="AX28" s="659" t="str">
        <f>CountryCode &amp; ".T3.F8.S13.MNAC." &amp; RefVintage</f>
        <v>HU.T3.F8.S13.MNAC.W.2019</v>
      </c>
    </row>
    <row r="29" spans="1:50" s="18" customFormat="1" ht="16.5" customHeight="1">
      <c r="A29" s="340" t="s">
        <v>301</v>
      </c>
      <c r="B29" s="490" t="s">
        <v>1033</v>
      </c>
      <c r="C29" s="428" t="s">
        <v>464</v>
      </c>
      <c r="D29" s="109">
        <v>-46</v>
      </c>
      <c r="E29" s="109">
        <v>-136</v>
      </c>
      <c r="F29" s="109">
        <v>-38</v>
      </c>
      <c r="G29" s="109">
        <v>222</v>
      </c>
      <c r="H29" s="108"/>
      <c r="I29" s="68"/>
      <c r="AX29" s="659" t="str">
        <f>CountryCode &amp; ".T3.OFA.S13.MNAC." &amp; RefVintage</f>
        <v>HU.T3.OFA.S13.MNAC.W.2019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1034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326348.00000000122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-315023.00000000151</v>
      </c>
      <c r="F31" s="436">
        <f t="shared" si="1"/>
        <v>120756.00000000049</v>
      </c>
      <c r="G31" s="436">
        <f t="shared" si="1"/>
        <v>358947.99999999977</v>
      </c>
      <c r="H31" s="108"/>
      <c r="I31" s="68"/>
      <c r="AX31" s="659" t="str">
        <f>CountryCode &amp; ".T3.ADJ.S13.MNAC." &amp; RefVintage</f>
        <v>HU.T3.ADJ.S13.MNAC.W.2019</v>
      </c>
    </row>
    <row r="32" spans="1:50" s="18" customFormat="1" ht="16.5" customHeight="1" thickBot="1">
      <c r="A32" s="340" t="s">
        <v>303</v>
      </c>
      <c r="B32" s="490" t="s">
        <v>1035</v>
      </c>
      <c r="C32" s="428" t="s">
        <v>475</v>
      </c>
      <c r="D32" s="109">
        <v>22191</v>
      </c>
      <c r="E32" s="109">
        <v>29815</v>
      </c>
      <c r="F32" s="109">
        <v>58463</v>
      </c>
      <c r="G32" s="109">
        <v>3477</v>
      </c>
      <c r="H32" s="108"/>
      <c r="I32" s="68"/>
      <c r="AX32" s="659" t="str">
        <f>CountryCode &amp; ".T3.LIA.S13.MNAC." &amp; RefVintage</f>
        <v>HU.T3.LIA.S13.MNAC.W.2019</v>
      </c>
    </row>
    <row r="33" spans="1:50" s="18" customFormat="1" ht="16.5" customHeight="1" thickBot="1">
      <c r="A33" s="322" t="s">
        <v>492</v>
      </c>
      <c r="B33" s="596" t="s">
        <v>1036</v>
      </c>
      <c r="C33" s="428" t="s">
        <v>462</v>
      </c>
      <c r="D33" s="109">
        <v>214890</v>
      </c>
      <c r="E33" s="109">
        <v>-310917</v>
      </c>
      <c r="F33" s="109">
        <v>15321</v>
      </c>
      <c r="G33" s="109">
        <v>25086</v>
      </c>
      <c r="H33" s="108"/>
      <c r="I33" s="68"/>
      <c r="AX33" s="659" t="str">
        <f>CountryCode &amp; ".T3.OAP.S13.MNAC." &amp; RefVintage</f>
        <v>HU.T3.OAP.S13.MNAC.W.2019</v>
      </c>
    </row>
    <row r="34" spans="1:50" s="18" customFormat="1" ht="16.5" customHeight="1">
      <c r="A34" s="340" t="s">
        <v>304</v>
      </c>
      <c r="B34" s="490" t="s">
        <v>1037</v>
      </c>
      <c r="C34" s="428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59" t="str">
        <f>CountryCode &amp; ".T3.OLIA.S13.MNAC." &amp; RefVintage</f>
        <v>HU.T3.OLIA.S13.MNAC.W.2019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1038</v>
      </c>
      <c r="C36" s="428" t="s">
        <v>68</v>
      </c>
      <c r="D36" s="109">
        <v>-177497</v>
      </c>
      <c r="E36" s="109">
        <v>-107744.99999999996</v>
      </c>
      <c r="F36" s="109">
        <v>-36893.000000000102</v>
      </c>
      <c r="G36" s="109">
        <v>4489.0000000001464</v>
      </c>
      <c r="H36" s="108"/>
      <c r="I36" s="68"/>
      <c r="AX36" s="659" t="str">
        <f>CountryCode &amp; ".T3.ISS_A.S13.MNAC." &amp; RefVintage</f>
        <v>HU.T3.ISS_A.S13.MNAC.W.2019</v>
      </c>
    </row>
    <row r="37" spans="1:50" s="18" customFormat="1" ht="16.5" customHeight="1">
      <c r="A37" s="340" t="s">
        <v>306</v>
      </c>
      <c r="B37" s="490" t="s">
        <v>1039</v>
      </c>
      <c r="C37" s="428" t="s">
        <v>477</v>
      </c>
      <c r="D37" s="109">
        <v>41710.547930169982</v>
      </c>
      <c r="E37" s="109">
        <v>52843.510148430054</v>
      </c>
      <c r="F37" s="109">
        <v>35285.252618419974</v>
      </c>
      <c r="G37" s="109">
        <v>6063.5436817000091</v>
      </c>
      <c r="H37" s="108"/>
      <c r="I37" s="68"/>
      <c r="AX37" s="659" t="str">
        <f>CountryCode &amp; ".T3.D41_A.S13.MNAC." &amp; RefVintage</f>
        <v>HU.T3.D41_A.S13.MNAC.W.2019</v>
      </c>
    </row>
    <row r="38" spans="1:50" s="237" customFormat="1" ht="16.5" customHeight="1">
      <c r="A38" s="340" t="s">
        <v>307</v>
      </c>
      <c r="B38" s="490" t="s">
        <v>1040</v>
      </c>
      <c r="C38" s="435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59" t="str">
        <f>CountryCode &amp; ".T3.RED_A.S13.MNAC." &amp; RefVintage</f>
        <v>HU.T3.RED_A.S13.MNAC.W.2019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1041</v>
      </c>
      <c r="C40" s="428" t="s">
        <v>97</v>
      </c>
      <c r="D40" s="109">
        <v>115549.36009683122</v>
      </c>
      <c r="E40" s="109">
        <v>-70816.355159431638</v>
      </c>
      <c r="F40" s="109">
        <v>-48250.481920419377</v>
      </c>
      <c r="G40" s="109">
        <v>276525.35737829958</v>
      </c>
      <c r="H40" s="108"/>
      <c r="I40" s="68"/>
      <c r="AX40" s="659" t="str">
        <f>CountryCode &amp; ".T3.FREV_A.S13.MNAC." &amp; RefVintage</f>
        <v>HU.T3.FREV_A.S13.MNAC.W.2019</v>
      </c>
    </row>
    <row r="41" spans="1:50" s="18" customFormat="1" ht="16.5" customHeight="1">
      <c r="A41" s="340" t="s">
        <v>516</v>
      </c>
      <c r="B41" s="490" t="s">
        <v>1042</v>
      </c>
      <c r="C41" s="428" t="s">
        <v>479</v>
      </c>
      <c r="D41" s="109">
        <v>9106</v>
      </c>
      <c r="E41" s="109">
        <v>0</v>
      </c>
      <c r="F41" s="109">
        <v>5425.0000000000009</v>
      </c>
      <c r="G41" s="109">
        <v>0</v>
      </c>
      <c r="H41" s="108"/>
      <c r="I41" s="68"/>
      <c r="AX41" s="659" t="str">
        <f>CountryCode &amp; ".T3.K61.S13.MNAC." &amp; RefVintage</f>
        <v>HU.T3.K61.S13.MNAC.W.2019</v>
      </c>
    </row>
    <row r="42" spans="1:50" s="18" customFormat="1" ht="16.5" customHeight="1">
      <c r="A42" s="340" t="s">
        <v>309</v>
      </c>
      <c r="B42" s="490" t="s">
        <v>1043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HU.T3.OCVO_A.S13.MNAC.W.2019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1213</v>
      </c>
      <c r="B44" s="490" t="s">
        <v>1044</v>
      </c>
      <c r="C44" s="433" t="s">
        <v>65</v>
      </c>
      <c r="D44" s="109">
        <v>10148.363435999723</v>
      </c>
      <c r="E44" s="109">
        <v>-2576.3547204005154</v>
      </c>
      <c r="F44" s="109">
        <v>34286.802763998479</v>
      </c>
      <c r="G44" s="109">
        <v>16488.553288714029</v>
      </c>
      <c r="H44" s="108"/>
      <c r="I44" s="68"/>
      <c r="AX44" s="659" t="str">
        <f>CountryCode &amp; ".T3.SD.S13.MNAC." &amp; RefVintage</f>
        <v>HU.T3.SD.S13.MNAC.W.2019</v>
      </c>
    </row>
    <row r="45" spans="1:50" s="18" customFormat="1" ht="16.5" customHeight="1">
      <c r="A45" s="340" t="s">
        <v>1214</v>
      </c>
      <c r="B45" s="490" t="s">
        <v>1045</v>
      </c>
      <c r="C45" s="428" t="s">
        <v>75</v>
      </c>
      <c r="D45" s="109">
        <v>10148.363435999723</v>
      </c>
      <c r="E45" s="109">
        <v>-2576.3547204005154</v>
      </c>
      <c r="F45" s="109">
        <v>34286.802763998479</v>
      </c>
      <c r="G45" s="109">
        <v>16488.553288714029</v>
      </c>
      <c r="H45" s="108"/>
      <c r="I45" s="68"/>
      <c r="AX45" s="659" t="str">
        <f>CountryCode &amp; ".T3.B9_SD.S13.MNAC." &amp; RefVintage</f>
        <v>HU.T3.B9_SD.S13.MNAC.W.2019</v>
      </c>
    </row>
    <row r="46" spans="1:50" s="18" customFormat="1" ht="16.5" customHeight="1">
      <c r="A46" s="340" t="s">
        <v>1215</v>
      </c>
      <c r="B46" s="490" t="s">
        <v>1046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HU.T3.OSD.S13.MNAC.W.2019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1047</v>
      </c>
      <c r="C48" s="374" t="s">
        <v>100</v>
      </c>
      <c r="D48" s="94">
        <v>1377095.0000000012</v>
      </c>
      <c r="E48" s="94">
        <v>600830.99999999837</v>
      </c>
      <c r="F48" s="94">
        <v>1190842.0000000005</v>
      </c>
      <c r="G48" s="95">
        <v>1648569.9999999998</v>
      </c>
      <c r="H48" s="6"/>
      <c r="I48" s="68"/>
      <c r="AX48" s="659" t="str">
        <f>CountryCode &amp; ".T3.CHDEBT.S13.MNAC." &amp; RefVintage</f>
        <v>HU.T3.CHDEBT.S13.MNAC.W.2019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20.25" thickTop="1" thickBot="1">
      <c r="A50" s="168"/>
      <c r="B50" s="256"/>
      <c r="C50" s="423" t="s">
        <v>790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70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0"/>
      <c r="F59" s="700"/>
      <c r="G59" s="700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-1.4551915228366852E-11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0</v>
      </c>
      <c r="H61" s="437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5.8207660913467407E-11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37"/>
      <c r="I62" s="244"/>
      <c r="J62" s="29"/>
    </row>
    <row r="63" spans="1:50" ht="15.75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1.4551915228366852E-11</v>
      </c>
      <c r="F68" s="381">
        <f t="shared" si="3"/>
        <v>6.3664629124104977E-12</v>
      </c>
      <c r="G68" s="381">
        <f t="shared" si="3"/>
        <v>0</v>
      </c>
      <c r="H68" s="437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78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-5.8207660913467407E-11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1217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-3.637978807091713E-12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-1.1641532182693481E-10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-1.2369127944111824E-10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8" customWidth="1"/>
    <col min="51" max="16384" width="9.7773437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79" t="s">
        <v>1219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5" thickBot="1">
      <c r="A4" s="334"/>
      <c r="B4" s="334"/>
      <c r="C4" s="418"/>
      <c r="D4" s="441"/>
      <c r="E4" s="377"/>
      <c r="F4" s="377"/>
      <c r="G4" s="377"/>
      <c r="K4" s="13"/>
    </row>
    <row r="5" spans="1:50" ht="16.5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75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29/03/2019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0" t="s">
        <v>1048</v>
      </c>
      <c r="C10" s="374" t="s">
        <v>775</v>
      </c>
      <c r="D10" s="91">
        <v>723608.1080639998</v>
      </c>
      <c r="E10" s="91">
        <v>660305.90376199991</v>
      </c>
      <c r="F10" s="91">
        <v>839362.23635700112</v>
      </c>
      <c r="G10" s="92">
        <v>986023.56626360852</v>
      </c>
      <c r="H10" s="4"/>
      <c r="I10" s="52"/>
      <c r="AX10" s="658" t="str">
        <f>CountryCode &amp; ".T3.B9.S1311.MNAC." &amp; RefVintage</f>
        <v>HU.T3.B9.S1311.MNAC.W.2019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1049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374665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466085</v>
      </c>
      <c r="F12" s="259">
        <f t="shared" si="0"/>
        <v>402553</v>
      </c>
      <c r="G12" s="259">
        <f t="shared" si="0"/>
        <v>657670</v>
      </c>
      <c r="H12" s="108"/>
      <c r="I12" s="68"/>
      <c r="AX12" s="659" t="str">
        <f>CountryCode &amp; ".T3.FA.S1311.MNAC." &amp; RefVintage</f>
        <v>HU.T3.FA.S1311.MNAC.W.2019</v>
      </c>
    </row>
    <row r="13" spans="1:50" s="18" customFormat="1" ht="16.5" customHeight="1">
      <c r="A13" s="340" t="s">
        <v>313</v>
      </c>
      <c r="B13" s="490" t="s">
        <v>1050</v>
      </c>
      <c r="C13" s="428" t="s">
        <v>62</v>
      </c>
      <c r="D13" s="109">
        <v>-306548</v>
      </c>
      <c r="E13" s="109">
        <v>608702</v>
      </c>
      <c r="F13" s="109">
        <v>-491823</v>
      </c>
      <c r="G13" s="109">
        <v>522999</v>
      </c>
      <c r="H13" s="108"/>
      <c r="I13" s="68"/>
      <c r="AX13" s="659" t="str">
        <f>CountryCode &amp; ".T3.F2.S1311.MNAC." &amp; RefVintage</f>
        <v>HU.T3.F2.S1311.MNAC.W.2019</v>
      </c>
    </row>
    <row r="14" spans="1:50" s="18" customFormat="1" ht="16.5" customHeight="1">
      <c r="A14" s="340" t="s">
        <v>314</v>
      </c>
      <c r="B14" s="490" t="s">
        <v>1051</v>
      </c>
      <c r="C14" s="428" t="s">
        <v>472</v>
      </c>
      <c r="D14" s="109">
        <v>11</v>
      </c>
      <c r="E14" s="109">
        <v>-32276.000000000004</v>
      </c>
      <c r="F14" s="109">
        <v>-2103</v>
      </c>
      <c r="G14" s="109">
        <v>-9994</v>
      </c>
      <c r="H14" s="108"/>
      <c r="I14" s="68"/>
      <c r="AX14" s="659" t="str">
        <f>CountryCode &amp; ".T3.F3.S1311.MNAC." &amp; RefVintage</f>
        <v>HU.T3.F3.S1311.MNAC.W.2019</v>
      </c>
    </row>
    <row r="15" spans="1:50" s="18" customFormat="1" ht="16.5" customHeight="1">
      <c r="A15" s="340" t="s">
        <v>315</v>
      </c>
      <c r="B15" s="490" t="s">
        <v>1052</v>
      </c>
      <c r="C15" s="428" t="s">
        <v>37</v>
      </c>
      <c r="D15" s="109">
        <v>319202</v>
      </c>
      <c r="E15" s="109">
        <v>191231</v>
      </c>
      <c r="F15" s="109">
        <v>183570</v>
      </c>
      <c r="G15" s="109">
        <v>-20428</v>
      </c>
      <c r="H15" s="108"/>
      <c r="I15" s="68"/>
      <c r="AX15" s="659" t="str">
        <f>CountryCode &amp; ".T3.F4.S1311.MNAC." &amp; RefVintage</f>
        <v>HU.T3.F4.S1311.MNAC.W.2019</v>
      </c>
    </row>
    <row r="16" spans="1:50" s="18" customFormat="1" ht="16.5" customHeight="1">
      <c r="A16" s="340" t="s">
        <v>316</v>
      </c>
      <c r="B16" s="490" t="s">
        <v>1053</v>
      </c>
      <c r="C16" s="429" t="s">
        <v>56</v>
      </c>
      <c r="D16" s="110">
        <v>3475626.1919999998</v>
      </c>
      <c r="E16" s="111">
        <v>3849984.1343360003</v>
      </c>
      <c r="F16" s="111">
        <v>4788979.4041030016</v>
      </c>
      <c r="G16" s="112">
        <v>4135156.265745</v>
      </c>
      <c r="H16" s="108"/>
      <c r="I16" s="68"/>
      <c r="AX16" s="659" t="str">
        <f>CountryCode &amp; ".T3.F4ACQ.S1311.MNAC." &amp; RefVintage</f>
        <v>HU.T3.F4ACQ.S1311.MNAC.W.2019</v>
      </c>
    </row>
    <row r="17" spans="1:50" s="18" customFormat="1" ht="16.5" customHeight="1">
      <c r="A17" s="340" t="s">
        <v>317</v>
      </c>
      <c r="B17" s="490" t="s">
        <v>1054</v>
      </c>
      <c r="C17" s="429" t="s">
        <v>57</v>
      </c>
      <c r="D17" s="113">
        <v>-3156424.1919999998</v>
      </c>
      <c r="E17" s="114">
        <v>-3658753.1343360003</v>
      </c>
      <c r="F17" s="114">
        <v>-4605409.4041030016</v>
      </c>
      <c r="G17" s="115">
        <v>-4155584.265745</v>
      </c>
      <c r="H17" s="108"/>
      <c r="I17" s="68"/>
      <c r="AX17" s="659" t="str">
        <f>CountryCode &amp; ".T3.F4DIS.S1311.MNAC." &amp; RefVintage</f>
        <v>HU.T3.F4DIS.S1311.MNAC.W.2019</v>
      </c>
    </row>
    <row r="18" spans="1:50" s="18" customFormat="1" ht="16.5" customHeight="1">
      <c r="A18" s="340" t="s">
        <v>318</v>
      </c>
      <c r="B18" s="490" t="s">
        <v>1055</v>
      </c>
      <c r="C18" s="430" t="s">
        <v>89</v>
      </c>
      <c r="D18" s="109">
        <v>7681</v>
      </c>
      <c r="E18" s="109">
        <v>80274</v>
      </c>
      <c r="F18" s="109">
        <v>47509</v>
      </c>
      <c r="G18" s="109">
        <v>-53845</v>
      </c>
      <c r="H18" s="108"/>
      <c r="I18" s="68"/>
      <c r="AX18" s="659" t="str">
        <f>CountryCode &amp; ".T3.F41.S1311.MNAC." &amp; RefVintage</f>
        <v>HU.T3.F41.S1311.MNAC.W.2019</v>
      </c>
    </row>
    <row r="19" spans="1:50" s="18" customFormat="1" ht="16.5" customHeight="1">
      <c r="A19" s="340" t="s">
        <v>319</v>
      </c>
      <c r="B19" s="490" t="s">
        <v>1056</v>
      </c>
      <c r="C19" s="430" t="s">
        <v>84</v>
      </c>
      <c r="D19" s="109">
        <v>311521</v>
      </c>
      <c r="E19" s="109">
        <v>110957</v>
      </c>
      <c r="F19" s="109">
        <v>136061</v>
      </c>
      <c r="G19" s="109">
        <v>33417</v>
      </c>
      <c r="H19" s="108"/>
      <c r="I19" s="68"/>
      <c r="AX19" s="659" t="str">
        <f>CountryCode &amp; ".T3.F42.S1311.MNAC." &amp; RefVintage</f>
        <v>HU.T3.F42.S1311.MNAC.W.2019</v>
      </c>
    </row>
    <row r="20" spans="1:50" s="18" customFormat="1" ht="16.5" customHeight="1">
      <c r="A20" s="340" t="s">
        <v>320</v>
      </c>
      <c r="B20" s="490" t="s">
        <v>1057</v>
      </c>
      <c r="C20" s="431" t="s">
        <v>80</v>
      </c>
      <c r="D20" s="116">
        <v>530627.82799999998</v>
      </c>
      <c r="E20" s="117">
        <v>508365.04833600001</v>
      </c>
      <c r="F20" s="117">
        <v>494674.88610300003</v>
      </c>
      <c r="G20" s="118">
        <v>408558.34774499998</v>
      </c>
      <c r="H20" s="108"/>
      <c r="I20" s="68"/>
      <c r="AX20" s="659" t="str">
        <f>CountryCode &amp; ".T3.F42ACQ.S1311.MNAC." &amp; RefVintage</f>
        <v>HU.T3.F42ACQ.S1311.MNAC.W.2019</v>
      </c>
    </row>
    <row r="21" spans="1:50" s="18" customFormat="1" ht="16.5" customHeight="1">
      <c r="A21" s="340" t="s">
        <v>321</v>
      </c>
      <c r="B21" s="490" t="s">
        <v>1058</v>
      </c>
      <c r="C21" s="431" t="s">
        <v>81</v>
      </c>
      <c r="D21" s="119">
        <v>-219106.82799999998</v>
      </c>
      <c r="E21" s="120">
        <v>-397408.04833600001</v>
      </c>
      <c r="F21" s="120">
        <v>-358613.88610300003</v>
      </c>
      <c r="G21" s="121">
        <v>-375141.34774499998</v>
      </c>
      <c r="H21" s="108"/>
      <c r="I21" s="68"/>
      <c r="AX21" s="659" t="str">
        <f>CountryCode &amp; ".T3.F42DIS.S1311.MNAC." &amp; RefVintage</f>
        <v>HU.T3.F42DIS.S1311.MNAC.W.2019</v>
      </c>
    </row>
    <row r="22" spans="1:50" s="18" customFormat="1" ht="16.5" customHeight="1">
      <c r="A22" s="340" t="s">
        <v>322</v>
      </c>
      <c r="B22" s="490" t="s">
        <v>1059</v>
      </c>
      <c r="C22" s="428" t="s">
        <v>473</v>
      </c>
      <c r="D22" s="109">
        <v>133767</v>
      </c>
      <c r="E22" s="109">
        <v>17582</v>
      </c>
      <c r="F22" s="109">
        <v>44217</v>
      </c>
      <c r="G22" s="109">
        <v>26746</v>
      </c>
      <c r="H22" s="108"/>
      <c r="I22" s="68"/>
      <c r="AX22" s="659" t="str">
        <f>CountryCode &amp; ".T3.F5.S1311.MNAC." &amp; RefVintage</f>
        <v>HU.T3.F5.S1311.MNAC.W.2019</v>
      </c>
    </row>
    <row r="23" spans="1:50" s="18" customFormat="1" ht="16.5" customHeight="1">
      <c r="A23" s="340" t="s">
        <v>323</v>
      </c>
      <c r="B23" s="490" t="s">
        <v>1060</v>
      </c>
      <c r="C23" s="430" t="s">
        <v>96</v>
      </c>
      <c r="D23" s="109">
        <v>-81140</v>
      </c>
      <c r="E23" s="109">
        <v>-3983</v>
      </c>
      <c r="F23" s="109">
        <v>-2344</v>
      </c>
      <c r="G23" s="109">
        <v>-903</v>
      </c>
      <c r="H23" s="108"/>
      <c r="I23" s="68"/>
      <c r="AX23" s="659" t="str">
        <f>CountryCode &amp; ".T3.F5PN.S1311.MNAC." &amp; RefVintage</f>
        <v>HU.T3.F5PN.S1311.MNAC.W.2019</v>
      </c>
    </row>
    <row r="24" spans="1:50" s="18" customFormat="1" ht="16.5" customHeight="1">
      <c r="A24" s="340" t="s">
        <v>324</v>
      </c>
      <c r="B24" s="490" t="s">
        <v>1061</v>
      </c>
      <c r="C24" s="430" t="s">
        <v>474</v>
      </c>
      <c r="D24" s="109">
        <v>214907</v>
      </c>
      <c r="E24" s="109">
        <v>21565</v>
      </c>
      <c r="F24" s="109">
        <v>46561</v>
      </c>
      <c r="G24" s="109">
        <v>27649</v>
      </c>
      <c r="H24" s="108"/>
      <c r="I24" s="68"/>
      <c r="AX24" s="659" t="str">
        <f>CountryCode &amp; ".T3.F5OP.S1311.MNAC." &amp; RefVintage</f>
        <v>HU.T3.F5OP.S1311.MNAC.W.2019</v>
      </c>
    </row>
    <row r="25" spans="1:50" s="18" customFormat="1" ht="16.5" customHeight="1">
      <c r="A25" s="340" t="s">
        <v>325</v>
      </c>
      <c r="B25" s="490" t="s">
        <v>1062</v>
      </c>
      <c r="C25" s="431" t="s">
        <v>85</v>
      </c>
      <c r="D25" s="122">
        <v>231484.5</v>
      </c>
      <c r="E25" s="123">
        <v>116032.33485100001</v>
      </c>
      <c r="F25" s="123">
        <v>47021.66</v>
      </c>
      <c r="G25" s="124">
        <v>32149</v>
      </c>
      <c r="H25" s="108"/>
      <c r="I25" s="68"/>
      <c r="AX25" s="659" t="str">
        <f>CountryCode &amp; ".T3.F5OPACQ.S1311.MNAC." &amp; RefVintage</f>
        <v>HU.T3.F5OPACQ.S1311.MNAC.W.2019</v>
      </c>
    </row>
    <row r="26" spans="1:50" s="18" customFormat="1" ht="16.5" customHeight="1" thickBot="1">
      <c r="A26" s="340" t="s">
        <v>326</v>
      </c>
      <c r="B26" s="490" t="s">
        <v>1063</v>
      </c>
      <c r="C26" s="431" t="s">
        <v>86</v>
      </c>
      <c r="D26" s="122">
        <v>-16577.5</v>
      </c>
      <c r="E26" s="123">
        <v>-94467.334851000007</v>
      </c>
      <c r="F26" s="123">
        <v>-460.66</v>
      </c>
      <c r="G26" s="124">
        <v>-4500</v>
      </c>
      <c r="H26" s="108"/>
      <c r="I26" s="68"/>
      <c r="AX26" s="659" t="str">
        <f>CountryCode &amp; ".T3.F5OPDIS.S1311.MNAC." &amp; RefVintage</f>
        <v>HU.T3.F5OPDIS.S1311.MNAC.W.2019</v>
      </c>
    </row>
    <row r="27" spans="1:50" s="18" customFormat="1" ht="16.5" customHeight="1">
      <c r="A27" s="421" t="s">
        <v>501</v>
      </c>
      <c r="B27" s="490" t="s">
        <v>1064</v>
      </c>
      <c r="C27" s="428" t="s">
        <v>458</v>
      </c>
      <c r="D27" s="109">
        <v>-273927</v>
      </c>
      <c r="E27" s="109">
        <v>-130008.00000000001</v>
      </c>
      <c r="F27" s="109">
        <v>-162561</v>
      </c>
      <c r="G27" s="109">
        <v>-92401</v>
      </c>
      <c r="H27" s="108"/>
      <c r="I27" s="68"/>
      <c r="AX27" s="659" t="str">
        <f>CountryCode &amp; ".T3.F71.S1311.MNAC." &amp; RefVintage</f>
        <v>HU.T3.F71.S1311.MNAC.W.2019</v>
      </c>
    </row>
    <row r="28" spans="1:50" s="18" customFormat="1" ht="16.5" customHeight="1" thickBot="1">
      <c r="A28" s="422" t="s">
        <v>500</v>
      </c>
      <c r="B28" s="490" t="s">
        <v>1065</v>
      </c>
      <c r="C28" s="428" t="s">
        <v>461</v>
      </c>
      <c r="D28" s="109">
        <v>502183</v>
      </c>
      <c r="E28" s="109">
        <v>-189078</v>
      </c>
      <c r="F28" s="109">
        <v>831272</v>
      </c>
      <c r="G28" s="109">
        <v>230637</v>
      </c>
      <c r="H28" s="108"/>
      <c r="I28" s="68"/>
      <c r="AX28" s="659" t="str">
        <f>CountryCode &amp; ".T3.F8.S1311.MNAC." &amp; RefVintage</f>
        <v>HU.T3.F8.S1311.MNAC.W.2019</v>
      </c>
    </row>
    <row r="29" spans="1:50" s="18" customFormat="1" ht="16.5" customHeight="1">
      <c r="A29" s="340" t="s">
        <v>493</v>
      </c>
      <c r="B29" s="490" t="s">
        <v>1066</v>
      </c>
      <c r="C29" s="428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59" t="str">
        <f>CountryCode &amp; ".T3.OFA.S1311.MNAC." &amp; RefVintage</f>
        <v>HU.T3.OFA.S1311.MNAC.W.2019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1067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283500.00000000006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-309861</v>
      </c>
      <c r="F31" s="436">
        <f t="shared" si="1"/>
        <v>150419.99999999991</v>
      </c>
      <c r="G31" s="436">
        <f t="shared" si="1"/>
        <v>362610.00000000006</v>
      </c>
      <c r="H31" s="108"/>
      <c r="I31" s="68"/>
      <c r="AX31" s="659" t="str">
        <f>CountryCode &amp; ".T3.ADJ.S1311.MNAC." &amp; RefVintage</f>
        <v>HU.T3.ADJ.S1311.MNAC.W.2019</v>
      </c>
    </row>
    <row r="32" spans="1:50" s="18" customFormat="1" ht="16.5" customHeight="1" thickBot="1">
      <c r="A32" s="340" t="s">
        <v>328</v>
      </c>
      <c r="B32" s="490" t="s">
        <v>1068</v>
      </c>
      <c r="C32" s="428" t="s">
        <v>475</v>
      </c>
      <c r="D32" s="109">
        <v>22191</v>
      </c>
      <c r="E32" s="109">
        <v>29815</v>
      </c>
      <c r="F32" s="109">
        <v>58463</v>
      </c>
      <c r="G32" s="109">
        <v>3468</v>
      </c>
      <c r="H32" s="108"/>
      <c r="I32" s="68"/>
      <c r="AX32" s="659" t="str">
        <f>CountryCode &amp; ".T3.LIA.S1311.MNAC." &amp; RefVintage</f>
        <v>HU.T3.LIA.S1311.MNAC.W.2019</v>
      </c>
    </row>
    <row r="33" spans="1:50" s="18" customFormat="1" ht="16.5" customHeight="1" thickBot="1">
      <c r="A33" s="322" t="s">
        <v>502</v>
      </c>
      <c r="B33" s="490" t="s">
        <v>1069</v>
      </c>
      <c r="C33" s="428" t="s">
        <v>462</v>
      </c>
      <c r="D33" s="109">
        <v>180574</v>
      </c>
      <c r="E33" s="109">
        <v>-304684</v>
      </c>
      <c r="F33" s="109">
        <v>49134</v>
      </c>
      <c r="G33" s="109">
        <v>28597</v>
      </c>
      <c r="H33" s="108"/>
      <c r="I33" s="68"/>
      <c r="AX33" s="659" t="str">
        <f>CountryCode &amp; ".T3.OAP.S1311.MNAC." &amp; RefVintage</f>
        <v>HU.T3.OAP.S1311.MNAC.W.2019</v>
      </c>
    </row>
    <row r="34" spans="1:50" s="18" customFormat="1" ht="16.5" customHeight="1">
      <c r="A34" s="340" t="s">
        <v>329</v>
      </c>
      <c r="B34" s="490" t="s">
        <v>1070</v>
      </c>
      <c r="C34" s="428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59" t="str">
        <f>CountryCode &amp; ".T3.OLIA.S1311.MNAC." &amp; RefVintage</f>
        <v>HU.T3.OLIA.S1311.MNAC.W.2019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1071</v>
      </c>
      <c r="C36" s="428" t="s">
        <v>68</v>
      </c>
      <c r="D36" s="109">
        <v>-177940</v>
      </c>
      <c r="E36" s="109">
        <v>-110405</v>
      </c>
      <c r="F36" s="109">
        <v>-34400.000000000022</v>
      </c>
      <c r="G36" s="109">
        <v>4490.0000000000373</v>
      </c>
      <c r="H36" s="108"/>
      <c r="I36" s="68"/>
      <c r="AX36" s="659" t="str">
        <f>CountryCode &amp; ".T3.ISS_A.S1311.MNAC." &amp; RefVintage</f>
        <v>HU.T3.ISS_A.S1311.MNAC.W.2019</v>
      </c>
    </row>
    <row r="37" spans="1:50" s="18" customFormat="1" ht="16.5" customHeight="1">
      <c r="A37" s="340" t="s">
        <v>331</v>
      </c>
      <c r="B37" s="490" t="s">
        <v>1072</v>
      </c>
      <c r="C37" s="428" t="s">
        <v>477</v>
      </c>
      <c r="D37" s="109">
        <v>41648.547930170083</v>
      </c>
      <c r="E37" s="109">
        <v>52098.510148429938</v>
      </c>
      <c r="F37" s="109">
        <v>31968.252618420025</v>
      </c>
      <c r="G37" s="109">
        <v>6800.5436816999754</v>
      </c>
      <c r="H37" s="108"/>
      <c r="I37" s="68"/>
      <c r="AX37" s="659" t="str">
        <f>CountryCode &amp; ".T3.D41_A.S1311.MNAC." &amp; RefVintage</f>
        <v>HU.T3.D41_A.S1311.MNAC.W.2019</v>
      </c>
    </row>
    <row r="38" spans="1:50" s="18" customFormat="1" ht="16.5" customHeight="1">
      <c r="A38" s="340" t="s">
        <v>332</v>
      </c>
      <c r="B38" s="490" t="s">
        <v>1073</v>
      </c>
      <c r="C38" s="435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59" t="str">
        <f>CountryCode &amp; ".T3.RED_A.S1311.MNAC." &amp; RefVintage</f>
        <v>HU.T3.RED_A.S1311.MNAC.W.2019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1074</v>
      </c>
      <c r="C40" s="428" t="s">
        <v>97</v>
      </c>
      <c r="D40" s="109">
        <v>115930.36009682994</v>
      </c>
      <c r="E40" s="109">
        <v>-68482.35515942995</v>
      </c>
      <c r="F40" s="109">
        <v>-51575.481920420076</v>
      </c>
      <c r="G40" s="109">
        <v>275947.35737830005</v>
      </c>
      <c r="H40" s="108"/>
      <c r="I40" s="68"/>
      <c r="AX40" s="659" t="str">
        <f>CountryCode &amp; ".T3.FREV_A.S1311.MNAC." &amp; RefVintage</f>
        <v>HU.T3.FREV_A.S1311.MNAC.W.2019</v>
      </c>
    </row>
    <row r="41" spans="1:50" s="18" customFormat="1" ht="16.5" customHeight="1">
      <c r="A41" s="340" t="s">
        <v>517</v>
      </c>
      <c r="B41" s="490" t="s">
        <v>1075</v>
      </c>
      <c r="C41" s="428" t="s">
        <v>479</v>
      </c>
      <c r="D41" s="109">
        <v>698</v>
      </c>
      <c r="E41" s="109">
        <v>0</v>
      </c>
      <c r="F41" s="109">
        <v>5425.0000000000009</v>
      </c>
      <c r="G41" s="109">
        <v>0</v>
      </c>
      <c r="H41" s="108"/>
      <c r="I41" s="68"/>
      <c r="AX41" s="659" t="str">
        <f>CountryCode &amp; ".T3.K61.S1311.MNAC." &amp; RefVintage</f>
        <v>HU.T3.K61.S1311.MNAC.W.2019</v>
      </c>
    </row>
    <row r="42" spans="1:50" s="18" customFormat="1" ht="16.5" customHeight="1">
      <c r="A42" s="340" t="s">
        <v>334</v>
      </c>
      <c r="B42" s="490" t="s">
        <v>1076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1077</v>
      </c>
      <c r="C44" s="433" t="s">
        <v>65</v>
      </c>
      <c r="D44" s="109">
        <v>-9062.1080639998399</v>
      </c>
      <c r="E44" s="109">
        <v>6479.0962380000856</v>
      </c>
      <c r="F44" s="109">
        <v>43092.763642998965</v>
      </c>
      <c r="G44" s="109">
        <v>20687.433736391424</v>
      </c>
      <c r="H44" s="108"/>
      <c r="I44" s="68"/>
      <c r="AX44" s="659" t="str">
        <f>CountryCode &amp; ".T3.SD.S1311.MNAC." &amp; RefVintage</f>
        <v>HU.T3.SD.S1311.MNAC.W.2019</v>
      </c>
    </row>
    <row r="45" spans="1:50" s="18" customFormat="1" ht="16.5" customHeight="1">
      <c r="A45" s="340" t="s">
        <v>336</v>
      </c>
      <c r="B45" s="490" t="s">
        <v>1078</v>
      </c>
      <c r="C45" s="428" t="s">
        <v>75</v>
      </c>
      <c r="D45" s="109">
        <v>-9062.1080639998399</v>
      </c>
      <c r="E45" s="109">
        <v>6479.0962380000856</v>
      </c>
      <c r="F45" s="109">
        <v>43092.763642998965</v>
      </c>
      <c r="G45" s="109">
        <v>20687.433736391424</v>
      </c>
      <c r="H45" s="108"/>
      <c r="I45" s="68"/>
      <c r="AX45" s="659" t="str">
        <f>CountryCode &amp; ".T3.B9_SD.S1311.MNAC." &amp; RefVintage</f>
        <v>HU.T3.B9_SD.S1311.MNAC.W.2019</v>
      </c>
    </row>
    <row r="46" spans="1:50" s="18" customFormat="1" ht="16.5" customHeight="1">
      <c r="A46" s="340" t="s">
        <v>337</v>
      </c>
      <c r="B46" s="490" t="s">
        <v>1079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HU.T3.OSD.S1311.MNAC.W.2019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1080</v>
      </c>
      <c r="C48" s="374" t="s">
        <v>102</v>
      </c>
      <c r="D48" s="94">
        <v>1372711</v>
      </c>
      <c r="E48" s="94">
        <v>823009</v>
      </c>
      <c r="F48" s="94">
        <v>1435428</v>
      </c>
      <c r="G48" s="95">
        <v>2026991</v>
      </c>
      <c r="H48" s="6"/>
      <c r="I48" s="68"/>
      <c r="AX48" s="659" t="str">
        <f>CountryCode &amp; ".T3.CHDEBT.S1311.MNAC." &amp; RefVintage</f>
        <v>HU.T3.CHDEBT.S1311.MNAC.W.2019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0" t="s">
        <v>1081</v>
      </c>
      <c r="C51" s="374" t="s">
        <v>107</v>
      </c>
      <c r="D51" s="91">
        <v>26303189</v>
      </c>
      <c r="E51" s="91">
        <v>27049545</v>
      </c>
      <c r="F51" s="91">
        <v>28427483</v>
      </c>
      <c r="G51" s="92">
        <v>30510197</v>
      </c>
      <c r="H51" s="4"/>
      <c r="I51" s="52"/>
      <c r="AX51" s="658" t="str">
        <f>CountryCode &amp; ".T3.CTDEBT.S1311.MNAC." &amp; RefVintage</f>
        <v>HU.T3.CTDEBT.S1311.MNAC.W.2019</v>
      </c>
    </row>
    <row r="52" spans="1:50" ht="15.75" thickTop="1">
      <c r="A52" s="340" t="s">
        <v>340</v>
      </c>
      <c r="B52" s="490" t="s">
        <v>1082</v>
      </c>
      <c r="C52" s="428" t="s">
        <v>103</v>
      </c>
      <c r="D52" s="109">
        <v>26347258</v>
      </c>
      <c r="E52" s="109">
        <v>27170267</v>
      </c>
      <c r="F52" s="109">
        <v>28605695</v>
      </c>
      <c r="G52" s="109">
        <v>30632686</v>
      </c>
      <c r="H52" s="108"/>
      <c r="I52" s="52"/>
      <c r="AX52" s="658" t="str">
        <f>CountryCode &amp; ".T3.DEBT.S1311.MNAC." &amp; RefVintage</f>
        <v>HU.T3.DEBT.S1311.MNAC.W.2019</v>
      </c>
    </row>
    <row r="53" spans="1:50">
      <c r="A53" s="340" t="s">
        <v>341</v>
      </c>
      <c r="B53" s="490" t="s">
        <v>1083</v>
      </c>
      <c r="C53" s="446" t="s">
        <v>110</v>
      </c>
      <c r="D53" s="153">
        <v>44069</v>
      </c>
      <c r="E53" s="153">
        <v>120722.00000000001</v>
      </c>
      <c r="F53" s="153">
        <v>178212</v>
      </c>
      <c r="G53" s="153">
        <v>122489</v>
      </c>
      <c r="H53" s="154"/>
      <c r="I53" s="52"/>
      <c r="AX53" s="658" t="str">
        <f>CountryCode &amp; ".T3.HOLD.S1311.MNAC." &amp; RefVintage</f>
        <v>HU.T3.HOLD.S1311.MNAC.W.2019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70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0"/>
      <c r="F64" s="700"/>
      <c r="G64" s="700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-1.4551915228366852E-11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</row>
    <row r="68" spans="3:10" ht="15.75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-3.4674485505092889E-12</v>
      </c>
      <c r="G72" s="381">
        <f>IF(G24="M",0,G24)-IF(G25="M",0,G25)-IF(G26="M",0,G26)</f>
        <v>0</v>
      </c>
      <c r="H72" s="437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-9.0949470177292824E-13</v>
      </c>
      <c r="G73" s="381">
        <f t="shared" si="3"/>
        <v>0</v>
      </c>
      <c r="H73" s="437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8" customWidth="1"/>
    <col min="51" max="16384" width="9.7773437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79" t="s">
        <v>1219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75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29/03/2019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0" t="s">
        <v>1156</v>
      </c>
      <c r="C10" s="374" t="s">
        <v>776</v>
      </c>
      <c r="D10" s="91" t="s">
        <v>1235</v>
      </c>
      <c r="E10" s="91" t="s">
        <v>1235</v>
      </c>
      <c r="F10" s="91" t="s">
        <v>1235</v>
      </c>
      <c r="G10" s="92" t="s">
        <v>1235</v>
      </c>
      <c r="H10" s="4"/>
      <c r="I10" s="52"/>
      <c r="AX10" s="658" t="str">
        <f>CountryCode &amp; ".T3.B9.S1312.MNAC." &amp; RefVintage</f>
        <v>HU.T3.B9.S1312.MNAC.W.2019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1157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HU.T3.FA.S1312.MNAC.W.2019</v>
      </c>
    </row>
    <row r="13" spans="1:50" s="18" customFormat="1" ht="16.5" customHeight="1">
      <c r="A13" s="340" t="s">
        <v>344</v>
      </c>
      <c r="B13" s="490" t="s">
        <v>1158</v>
      </c>
      <c r="C13" s="428" t="s">
        <v>62</v>
      </c>
      <c r="D13" s="109" t="s">
        <v>1235</v>
      </c>
      <c r="E13" s="109" t="s">
        <v>1235</v>
      </c>
      <c r="F13" s="109" t="s">
        <v>1235</v>
      </c>
      <c r="G13" s="109" t="s">
        <v>1235</v>
      </c>
      <c r="H13" s="108"/>
      <c r="I13" s="68"/>
      <c r="AX13" s="659" t="str">
        <f>CountryCode &amp; ".T3.F2.S1312.MNAC." &amp; RefVintage</f>
        <v>HU.T3.F2.S1312.MNAC.W.2019</v>
      </c>
    </row>
    <row r="14" spans="1:50" s="18" customFormat="1" ht="16.5" customHeight="1">
      <c r="A14" s="340" t="s">
        <v>345</v>
      </c>
      <c r="B14" s="490" t="s">
        <v>1159</v>
      </c>
      <c r="C14" s="428" t="s">
        <v>472</v>
      </c>
      <c r="D14" s="109" t="s">
        <v>1235</v>
      </c>
      <c r="E14" s="109" t="s">
        <v>1235</v>
      </c>
      <c r="F14" s="109" t="s">
        <v>1235</v>
      </c>
      <c r="G14" s="109" t="s">
        <v>1235</v>
      </c>
      <c r="H14" s="108"/>
      <c r="I14" s="68"/>
      <c r="AX14" s="659" t="str">
        <f>CountryCode &amp; ".T3.F3.S1312.MNAC." &amp; RefVintage</f>
        <v>HU.T3.F3.S1312.MNAC.W.2019</v>
      </c>
    </row>
    <row r="15" spans="1:50" s="18" customFormat="1" ht="16.5" customHeight="1">
      <c r="A15" s="340" t="s">
        <v>346</v>
      </c>
      <c r="B15" s="490" t="s">
        <v>1160</v>
      </c>
      <c r="C15" s="428" t="s">
        <v>37</v>
      </c>
      <c r="D15" s="109" t="s">
        <v>1235</v>
      </c>
      <c r="E15" s="109" t="s">
        <v>1235</v>
      </c>
      <c r="F15" s="109" t="s">
        <v>1235</v>
      </c>
      <c r="G15" s="109" t="s">
        <v>1235</v>
      </c>
      <c r="H15" s="108"/>
      <c r="I15" s="68"/>
      <c r="AX15" s="659" t="str">
        <f>CountryCode &amp; ".T3.F4.S1312.MNAC." &amp; RefVintage</f>
        <v>HU.T3.F4.S1312.MNAC.W.2019</v>
      </c>
    </row>
    <row r="16" spans="1:50" s="18" customFormat="1" ht="16.5" customHeight="1">
      <c r="A16" s="340" t="s">
        <v>347</v>
      </c>
      <c r="B16" s="490" t="s">
        <v>1161</v>
      </c>
      <c r="C16" s="429" t="s">
        <v>56</v>
      </c>
      <c r="D16" s="110" t="s">
        <v>1235</v>
      </c>
      <c r="E16" s="111" t="s">
        <v>1235</v>
      </c>
      <c r="F16" s="111" t="s">
        <v>1235</v>
      </c>
      <c r="G16" s="112" t="s">
        <v>1235</v>
      </c>
      <c r="H16" s="108"/>
      <c r="I16" s="68"/>
      <c r="AX16" s="659" t="str">
        <f>CountryCode &amp; ".T3.F4ACQ.S1312.MNAC." &amp; RefVintage</f>
        <v>HU.T3.F4ACQ.S1312.MNAC.W.2019</v>
      </c>
    </row>
    <row r="17" spans="1:50" s="18" customFormat="1" ht="16.5" customHeight="1">
      <c r="A17" s="340" t="s">
        <v>348</v>
      </c>
      <c r="B17" s="490" t="s">
        <v>1162</v>
      </c>
      <c r="C17" s="429" t="s">
        <v>57</v>
      </c>
      <c r="D17" s="113" t="s">
        <v>1235</v>
      </c>
      <c r="E17" s="114" t="s">
        <v>1235</v>
      </c>
      <c r="F17" s="114" t="s">
        <v>1235</v>
      </c>
      <c r="G17" s="115" t="s">
        <v>1235</v>
      </c>
      <c r="H17" s="108"/>
      <c r="I17" s="68"/>
      <c r="AX17" s="659" t="str">
        <f>CountryCode &amp; ".T3.F4DIS.S1312.MNAC." &amp; RefVintage</f>
        <v>HU.T3.F4DIS.S1312.MNAC.W.2019</v>
      </c>
    </row>
    <row r="18" spans="1:50" s="18" customFormat="1" ht="16.5" customHeight="1">
      <c r="A18" s="340" t="s">
        <v>349</v>
      </c>
      <c r="B18" s="490" t="s">
        <v>1163</v>
      </c>
      <c r="C18" s="430" t="s">
        <v>89</v>
      </c>
      <c r="D18" s="109" t="s">
        <v>1235</v>
      </c>
      <c r="E18" s="109" t="s">
        <v>1235</v>
      </c>
      <c r="F18" s="109" t="s">
        <v>1235</v>
      </c>
      <c r="G18" s="109" t="s">
        <v>1235</v>
      </c>
      <c r="H18" s="108"/>
      <c r="I18" s="68"/>
      <c r="AX18" s="659" t="str">
        <f>CountryCode &amp; ".T3.F41.S1312.MNAC." &amp; RefVintage</f>
        <v>HU.T3.F41.S1312.MNAC.W.2019</v>
      </c>
    </row>
    <row r="19" spans="1:50" s="18" customFormat="1" ht="16.5" customHeight="1">
      <c r="A19" s="340" t="s">
        <v>350</v>
      </c>
      <c r="B19" s="490" t="s">
        <v>1164</v>
      </c>
      <c r="C19" s="430" t="s">
        <v>84</v>
      </c>
      <c r="D19" s="109" t="s">
        <v>1235</v>
      </c>
      <c r="E19" s="109" t="s">
        <v>1235</v>
      </c>
      <c r="F19" s="109" t="s">
        <v>1235</v>
      </c>
      <c r="G19" s="109" t="s">
        <v>1235</v>
      </c>
      <c r="H19" s="108"/>
      <c r="I19" s="68"/>
      <c r="AX19" s="659" t="str">
        <f>CountryCode &amp; ".T3.F42.S1312.MNAC." &amp; RefVintage</f>
        <v>HU.T3.F42.S1312.MNAC.W.2019</v>
      </c>
    </row>
    <row r="20" spans="1:50" s="18" customFormat="1" ht="16.5" customHeight="1">
      <c r="A20" s="340" t="s">
        <v>351</v>
      </c>
      <c r="B20" s="490" t="s">
        <v>1165</v>
      </c>
      <c r="C20" s="431" t="s">
        <v>80</v>
      </c>
      <c r="D20" s="116" t="s">
        <v>1235</v>
      </c>
      <c r="E20" s="117" t="s">
        <v>1235</v>
      </c>
      <c r="F20" s="117" t="s">
        <v>1235</v>
      </c>
      <c r="G20" s="118" t="s">
        <v>1235</v>
      </c>
      <c r="H20" s="108"/>
      <c r="I20" s="68"/>
      <c r="AX20" s="659" t="str">
        <f>CountryCode &amp; ".T3.F42ACQ.S1312.MNAC." &amp; RefVintage</f>
        <v>HU.T3.F42ACQ.S1312.MNAC.W.2019</v>
      </c>
    </row>
    <row r="21" spans="1:50" s="18" customFormat="1" ht="16.5" customHeight="1">
      <c r="A21" s="340" t="s">
        <v>352</v>
      </c>
      <c r="B21" s="490" t="s">
        <v>1166</v>
      </c>
      <c r="C21" s="431" t="s">
        <v>81</v>
      </c>
      <c r="D21" s="119" t="s">
        <v>1235</v>
      </c>
      <c r="E21" s="120" t="s">
        <v>1235</v>
      </c>
      <c r="F21" s="120" t="s">
        <v>1235</v>
      </c>
      <c r="G21" s="121" t="s">
        <v>1235</v>
      </c>
      <c r="H21" s="108"/>
      <c r="I21" s="68"/>
      <c r="AX21" s="659" t="str">
        <f>CountryCode &amp; ".T3.F42DIS.S1312.MNAC." &amp; RefVintage</f>
        <v>HU.T3.F42DIS.S1312.MNAC.W.2019</v>
      </c>
    </row>
    <row r="22" spans="1:50" s="18" customFormat="1" ht="16.5" customHeight="1">
      <c r="A22" s="340" t="s">
        <v>353</v>
      </c>
      <c r="B22" s="490" t="s">
        <v>1167</v>
      </c>
      <c r="C22" s="428" t="s">
        <v>473</v>
      </c>
      <c r="D22" s="109" t="s">
        <v>1235</v>
      </c>
      <c r="E22" s="109" t="s">
        <v>1235</v>
      </c>
      <c r="F22" s="109" t="s">
        <v>1235</v>
      </c>
      <c r="G22" s="109" t="s">
        <v>1235</v>
      </c>
      <c r="H22" s="108"/>
      <c r="I22" s="68"/>
      <c r="AX22" s="659" t="str">
        <f>CountryCode &amp; ".T3.F5.S1312.MNAC." &amp; RefVintage</f>
        <v>HU.T3.F5.S1312.MNAC.W.2019</v>
      </c>
    </row>
    <row r="23" spans="1:50" s="18" customFormat="1" ht="16.5" customHeight="1">
      <c r="A23" s="340" t="s">
        <v>354</v>
      </c>
      <c r="B23" s="490" t="s">
        <v>1168</v>
      </c>
      <c r="C23" s="430" t="s">
        <v>96</v>
      </c>
      <c r="D23" s="109" t="s">
        <v>1235</v>
      </c>
      <c r="E23" s="109" t="s">
        <v>1235</v>
      </c>
      <c r="F23" s="109" t="s">
        <v>1235</v>
      </c>
      <c r="G23" s="109" t="s">
        <v>1235</v>
      </c>
      <c r="H23" s="108"/>
      <c r="I23" s="68"/>
      <c r="AX23" s="659" t="str">
        <f>CountryCode &amp; ".T3.F5PN.S1312.MNAC." &amp; RefVintage</f>
        <v>HU.T3.F5PN.S1312.MNAC.W.2019</v>
      </c>
    </row>
    <row r="24" spans="1:50" s="18" customFormat="1" ht="16.5" customHeight="1">
      <c r="A24" s="340" t="s">
        <v>355</v>
      </c>
      <c r="B24" s="490" t="s">
        <v>1169</v>
      </c>
      <c r="C24" s="430" t="s">
        <v>474</v>
      </c>
      <c r="D24" s="109" t="s">
        <v>1235</v>
      </c>
      <c r="E24" s="109" t="s">
        <v>1235</v>
      </c>
      <c r="F24" s="109" t="s">
        <v>1235</v>
      </c>
      <c r="G24" s="109" t="s">
        <v>1235</v>
      </c>
      <c r="H24" s="108"/>
      <c r="I24" s="68"/>
      <c r="AX24" s="659" t="str">
        <f>CountryCode &amp; ".T3.F5OP.S1312.MNAC." &amp; RefVintage</f>
        <v>HU.T3.F5OP.S1312.MNAC.W.2019</v>
      </c>
    </row>
    <row r="25" spans="1:50" s="18" customFormat="1" ht="16.5" customHeight="1">
      <c r="A25" s="340" t="s">
        <v>356</v>
      </c>
      <c r="B25" s="490" t="s">
        <v>1170</v>
      </c>
      <c r="C25" s="431" t="s">
        <v>85</v>
      </c>
      <c r="D25" s="122" t="s">
        <v>1235</v>
      </c>
      <c r="E25" s="123" t="s">
        <v>1235</v>
      </c>
      <c r="F25" s="123" t="s">
        <v>1235</v>
      </c>
      <c r="G25" s="124" t="s">
        <v>1235</v>
      </c>
      <c r="H25" s="108"/>
      <c r="I25" s="68"/>
      <c r="AX25" s="659" t="str">
        <f>CountryCode &amp; ".T3.F5OPACQ.S1312.MNAC." &amp; RefVintage</f>
        <v>HU.T3.F5OPACQ.S1312.MNAC.W.2019</v>
      </c>
    </row>
    <row r="26" spans="1:50" s="18" customFormat="1" ht="16.5" customHeight="1" thickBot="1">
      <c r="A26" s="340" t="s">
        <v>357</v>
      </c>
      <c r="B26" s="490" t="s">
        <v>1171</v>
      </c>
      <c r="C26" s="431" t="s">
        <v>86</v>
      </c>
      <c r="D26" s="122" t="s">
        <v>1235</v>
      </c>
      <c r="E26" s="123" t="s">
        <v>1235</v>
      </c>
      <c r="F26" s="123" t="s">
        <v>1235</v>
      </c>
      <c r="G26" s="124" t="s">
        <v>1235</v>
      </c>
      <c r="H26" s="108"/>
      <c r="I26" s="68"/>
      <c r="AX26" s="659" t="str">
        <f>CountryCode &amp; ".T3.F5OPDIS.S1312.MNAC." &amp; RefVintage</f>
        <v>HU.T3.F5OPDIS.S1312.MNAC.W.2019</v>
      </c>
    </row>
    <row r="27" spans="1:50" s="18" customFormat="1" ht="16.5" customHeight="1">
      <c r="A27" s="421" t="s">
        <v>498</v>
      </c>
      <c r="B27" s="490" t="s">
        <v>1172</v>
      </c>
      <c r="C27" s="428" t="s">
        <v>458</v>
      </c>
      <c r="D27" s="109" t="s">
        <v>1235</v>
      </c>
      <c r="E27" s="109" t="s">
        <v>1235</v>
      </c>
      <c r="F27" s="109" t="s">
        <v>1235</v>
      </c>
      <c r="G27" s="109" t="s">
        <v>1235</v>
      </c>
      <c r="H27" s="108"/>
      <c r="I27" s="68"/>
      <c r="AX27" s="659" t="str">
        <f>CountryCode &amp; ".T3.F71.S1312.MNAC." &amp; RefVintage</f>
        <v>HU.T3.F71.S1312.MNAC.W.2019</v>
      </c>
    </row>
    <row r="28" spans="1:50" s="18" customFormat="1" ht="16.5" customHeight="1" thickBot="1">
      <c r="A28" s="422" t="s">
        <v>499</v>
      </c>
      <c r="B28" s="490" t="s">
        <v>1173</v>
      </c>
      <c r="C28" s="428" t="s">
        <v>461</v>
      </c>
      <c r="D28" s="109" t="s">
        <v>1235</v>
      </c>
      <c r="E28" s="109" t="s">
        <v>1235</v>
      </c>
      <c r="F28" s="109" t="s">
        <v>1235</v>
      </c>
      <c r="G28" s="109" t="s">
        <v>1235</v>
      </c>
      <c r="H28" s="108"/>
      <c r="I28" s="68"/>
      <c r="AX28" s="659" t="str">
        <f>CountryCode &amp; ".T3.F8.S1312.MNAC." &amp; RefVintage</f>
        <v>HU.T3.F8.S1312.MNAC.W.2019</v>
      </c>
    </row>
    <row r="29" spans="1:50" s="18" customFormat="1" ht="16.5" customHeight="1">
      <c r="A29" s="340" t="s">
        <v>358</v>
      </c>
      <c r="B29" s="490" t="s">
        <v>1174</v>
      </c>
      <c r="C29" s="428" t="s">
        <v>464</v>
      </c>
      <c r="D29" s="109" t="s">
        <v>1235</v>
      </c>
      <c r="E29" s="109" t="s">
        <v>1235</v>
      </c>
      <c r="F29" s="109" t="s">
        <v>1235</v>
      </c>
      <c r="G29" s="109" t="s">
        <v>1235</v>
      </c>
      <c r="H29" s="108"/>
      <c r="I29" s="68"/>
      <c r="AX29" s="659" t="str">
        <f>CountryCode &amp; ".T3.OFA.S1312.MNAC." &amp; RefVintage</f>
        <v>HU.T3.OFA.S1312.MNAC.W.2019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1175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HU.T3.ADJ.S1312.MNAC.W.2019</v>
      </c>
    </row>
    <row r="32" spans="1:50" s="18" customFormat="1" ht="16.5" customHeight="1" thickBot="1">
      <c r="A32" s="340" t="s">
        <v>360</v>
      </c>
      <c r="B32" s="490" t="s">
        <v>1176</v>
      </c>
      <c r="C32" s="428" t="s">
        <v>475</v>
      </c>
      <c r="D32" s="109" t="s">
        <v>1235</v>
      </c>
      <c r="E32" s="109" t="s">
        <v>1235</v>
      </c>
      <c r="F32" s="109" t="s">
        <v>1235</v>
      </c>
      <c r="G32" s="109" t="s">
        <v>1235</v>
      </c>
      <c r="H32" s="108"/>
      <c r="I32" s="68"/>
      <c r="AX32" s="659" t="str">
        <f>CountryCode &amp; ".T3.LIA.S1312.MNAC." &amp; RefVintage</f>
        <v>HU.T3.LIA.S1312.MNAC.W.2019</v>
      </c>
    </row>
    <row r="33" spans="1:50" s="18" customFormat="1" ht="16.5" customHeight="1" thickBot="1">
      <c r="A33" s="322" t="s">
        <v>503</v>
      </c>
      <c r="B33" s="490" t="s">
        <v>1177</v>
      </c>
      <c r="C33" s="428" t="s">
        <v>462</v>
      </c>
      <c r="D33" s="109" t="s">
        <v>1235</v>
      </c>
      <c r="E33" s="109" t="s">
        <v>1235</v>
      </c>
      <c r="F33" s="109" t="s">
        <v>1235</v>
      </c>
      <c r="G33" s="109" t="s">
        <v>1235</v>
      </c>
      <c r="H33" s="108"/>
      <c r="I33" s="68"/>
      <c r="AX33" s="659" t="str">
        <f>CountryCode &amp; ".T3.OAP.S1312.MNAC." &amp; RefVintage</f>
        <v>HU.T3.OAP.S1312.MNAC.W.2019</v>
      </c>
    </row>
    <row r="34" spans="1:50" s="18" customFormat="1" ht="16.5" customHeight="1">
      <c r="A34" s="340" t="s">
        <v>361</v>
      </c>
      <c r="B34" s="490" t="s">
        <v>1178</v>
      </c>
      <c r="C34" s="428" t="s">
        <v>476</v>
      </c>
      <c r="D34" s="109" t="s">
        <v>1235</v>
      </c>
      <c r="E34" s="109" t="s">
        <v>1235</v>
      </c>
      <c r="F34" s="109" t="s">
        <v>1235</v>
      </c>
      <c r="G34" s="109" t="s">
        <v>1235</v>
      </c>
      <c r="H34" s="108"/>
      <c r="I34" s="68"/>
      <c r="AX34" s="659" t="str">
        <f>CountryCode &amp; ".T3.OLIA.S1312.MNAC." &amp; RefVintage</f>
        <v>HU.T3.OLIA.S1312.MNAC.W.2019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1179</v>
      </c>
      <c r="C36" s="428" t="s">
        <v>68</v>
      </c>
      <c r="D36" s="109" t="s">
        <v>1235</v>
      </c>
      <c r="E36" s="109" t="s">
        <v>1235</v>
      </c>
      <c r="F36" s="109" t="s">
        <v>1235</v>
      </c>
      <c r="G36" s="109" t="s">
        <v>1235</v>
      </c>
      <c r="H36" s="108"/>
      <c r="I36" s="68"/>
      <c r="AX36" s="659" t="str">
        <f>CountryCode &amp; ".T3.ISS_A.S1312.MNAC." &amp; RefVintage</f>
        <v>HU.T3.ISS_A.S1312.MNAC.W.2019</v>
      </c>
    </row>
    <row r="37" spans="1:50" s="18" customFormat="1" ht="16.5" customHeight="1">
      <c r="A37" s="340" t="s">
        <v>363</v>
      </c>
      <c r="B37" s="490" t="s">
        <v>1180</v>
      </c>
      <c r="C37" s="428" t="s">
        <v>477</v>
      </c>
      <c r="D37" s="109" t="s">
        <v>1235</v>
      </c>
      <c r="E37" s="109" t="s">
        <v>1235</v>
      </c>
      <c r="F37" s="109" t="s">
        <v>1235</v>
      </c>
      <c r="G37" s="109" t="s">
        <v>1235</v>
      </c>
      <c r="H37" s="108"/>
      <c r="I37" s="68"/>
      <c r="AX37" s="659" t="str">
        <f>CountryCode &amp; ".T3.D41_A.S1312.MNAC." &amp; RefVintage</f>
        <v>HU.T3.D41_A.S1312.MNAC.W.2019</v>
      </c>
    </row>
    <row r="38" spans="1:50" s="237" customFormat="1" ht="16.5" customHeight="1">
      <c r="A38" s="340" t="s">
        <v>364</v>
      </c>
      <c r="B38" s="490" t="s">
        <v>1181</v>
      </c>
      <c r="C38" s="435" t="s">
        <v>478</v>
      </c>
      <c r="D38" s="109" t="s">
        <v>1235</v>
      </c>
      <c r="E38" s="109" t="s">
        <v>1235</v>
      </c>
      <c r="F38" s="109" t="s">
        <v>1235</v>
      </c>
      <c r="G38" s="109" t="s">
        <v>1235</v>
      </c>
      <c r="H38" s="108"/>
      <c r="I38" s="68"/>
      <c r="AX38" s="659" t="str">
        <f>CountryCode &amp; ".T3.RED_A.S1312.MNAC." &amp; RefVintage</f>
        <v>HU.T3.RED_A.S1312.MNAC.W.2019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1182</v>
      </c>
      <c r="C40" s="428" t="s">
        <v>97</v>
      </c>
      <c r="D40" s="109" t="s">
        <v>1235</v>
      </c>
      <c r="E40" s="109" t="s">
        <v>1235</v>
      </c>
      <c r="F40" s="109" t="s">
        <v>1235</v>
      </c>
      <c r="G40" s="109" t="s">
        <v>1235</v>
      </c>
      <c r="H40" s="108"/>
      <c r="I40" s="68"/>
      <c r="AX40" s="659" t="str">
        <f>CountryCode &amp; ".T3.FREV_A.S1312.MNAC." &amp; RefVintage</f>
        <v>HU.T3.FREV_A.S1312.MNAC.W.2019</v>
      </c>
    </row>
    <row r="41" spans="1:50" s="18" customFormat="1" ht="16.5" customHeight="1">
      <c r="A41" s="340" t="s">
        <v>521</v>
      </c>
      <c r="B41" s="490" t="s">
        <v>1183</v>
      </c>
      <c r="C41" s="428" t="s">
        <v>479</v>
      </c>
      <c r="D41" s="109" t="s">
        <v>1235</v>
      </c>
      <c r="E41" s="109" t="s">
        <v>1235</v>
      </c>
      <c r="F41" s="109" t="s">
        <v>1235</v>
      </c>
      <c r="G41" s="109" t="s">
        <v>1235</v>
      </c>
      <c r="H41" s="108"/>
      <c r="I41" s="68"/>
      <c r="AX41" s="659" t="str">
        <f>CountryCode &amp; ".T3.K61.S1312.MNAC." &amp; RefVintage</f>
        <v>HU.T3.K61.S1312.MNAC.W.2019</v>
      </c>
    </row>
    <row r="42" spans="1:50" s="18" customFormat="1" ht="16.5" customHeight="1">
      <c r="A42" s="340" t="s">
        <v>366</v>
      </c>
      <c r="B42" s="490" t="s">
        <v>1184</v>
      </c>
      <c r="C42" s="428" t="s">
        <v>480</v>
      </c>
      <c r="D42" s="109" t="s">
        <v>1235</v>
      </c>
      <c r="E42" s="109" t="s">
        <v>1235</v>
      </c>
      <c r="F42" s="109" t="s">
        <v>1235</v>
      </c>
      <c r="G42" s="109" t="s">
        <v>1235</v>
      </c>
      <c r="H42" s="108"/>
      <c r="I42" s="68"/>
      <c r="AX42" s="659" t="str">
        <f>CountryCode &amp; ".T3.OCVO_A.S1312.MNAC." &amp; RefVintage</f>
        <v>HU.T3.OCVO_A.S1312.MNAC.W.2019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1185</v>
      </c>
      <c r="C44" s="433" t="s">
        <v>65</v>
      </c>
      <c r="D44" s="109" t="s">
        <v>1235</v>
      </c>
      <c r="E44" s="109" t="s">
        <v>1235</v>
      </c>
      <c r="F44" s="109" t="s">
        <v>1235</v>
      </c>
      <c r="G44" s="109" t="s">
        <v>1235</v>
      </c>
      <c r="H44" s="108"/>
      <c r="I44" s="68"/>
      <c r="AX44" s="659" t="str">
        <f>CountryCode &amp; ".T3.SD.S1312.MNAC." &amp; RefVintage</f>
        <v>HU.T3.SD.S1312.MNAC.W.2019</v>
      </c>
    </row>
    <row r="45" spans="1:50" s="18" customFormat="1" ht="16.5" customHeight="1">
      <c r="A45" s="340" t="s">
        <v>368</v>
      </c>
      <c r="B45" s="490" t="s">
        <v>1186</v>
      </c>
      <c r="C45" s="428" t="s">
        <v>75</v>
      </c>
      <c r="D45" s="109" t="s">
        <v>1235</v>
      </c>
      <c r="E45" s="109" t="s">
        <v>1235</v>
      </c>
      <c r="F45" s="109" t="s">
        <v>1235</v>
      </c>
      <c r="G45" s="109" t="s">
        <v>1235</v>
      </c>
      <c r="H45" s="108"/>
      <c r="I45" s="68"/>
      <c r="AX45" s="659" t="str">
        <f>CountryCode &amp; ".T3.B9_SD.S1312.MNAC." &amp; RefVintage</f>
        <v>HU.T3.B9_SD.S1312.MNAC.W.2019</v>
      </c>
    </row>
    <row r="46" spans="1:50" s="18" customFormat="1" ht="16.5" customHeight="1">
      <c r="A46" s="340" t="s">
        <v>369</v>
      </c>
      <c r="B46" s="490" t="s">
        <v>1187</v>
      </c>
      <c r="C46" s="428" t="s">
        <v>64</v>
      </c>
      <c r="D46" s="109" t="s">
        <v>1235</v>
      </c>
      <c r="E46" s="109" t="s">
        <v>1235</v>
      </c>
      <c r="F46" s="109" t="s">
        <v>1235</v>
      </c>
      <c r="G46" s="109" t="s">
        <v>1235</v>
      </c>
      <c r="H46" s="108"/>
      <c r="I46" s="68"/>
      <c r="AX46" s="659" t="str">
        <f>CountryCode &amp; ".T3.OSD.S1312.MNAC." &amp; RefVintage</f>
        <v>HU.T3.OSD.S1312.MNAC.W.2019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1188</v>
      </c>
      <c r="C48" s="374" t="s">
        <v>105</v>
      </c>
      <c r="D48" s="94" t="s">
        <v>1235</v>
      </c>
      <c r="E48" s="94" t="s">
        <v>1235</v>
      </c>
      <c r="F48" s="94" t="s">
        <v>1235</v>
      </c>
      <c r="G48" s="95" t="s">
        <v>1235</v>
      </c>
      <c r="H48" s="6"/>
      <c r="I48" s="68"/>
      <c r="AX48" s="659" t="str">
        <f>CountryCode &amp; ".T3.CHDEBT.S1312.MNAC." &amp; RefVintage</f>
        <v>HU.T3.CHDEBT.S1312.MNAC.W.2019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0" t="s">
        <v>1189</v>
      </c>
      <c r="C51" s="374" t="s">
        <v>106</v>
      </c>
      <c r="D51" s="91" t="s">
        <v>1235</v>
      </c>
      <c r="E51" s="91" t="s">
        <v>1235</v>
      </c>
      <c r="F51" s="91" t="s">
        <v>1235</v>
      </c>
      <c r="G51" s="92" t="s">
        <v>1235</v>
      </c>
      <c r="H51" s="4"/>
      <c r="I51" s="52"/>
      <c r="AX51" s="658" t="str">
        <f>CountryCode &amp; ".T3.CTDEBT.S1312.MNAC." &amp; RefVintage</f>
        <v>HU.T3.CTDEBT.S1312.MNAC.W.2019</v>
      </c>
    </row>
    <row r="52" spans="1:50" ht="15.75" thickTop="1">
      <c r="A52" s="340" t="s">
        <v>372</v>
      </c>
      <c r="B52" s="490" t="s">
        <v>1190</v>
      </c>
      <c r="C52" s="428" t="s">
        <v>108</v>
      </c>
      <c r="D52" s="109" t="s">
        <v>1235</v>
      </c>
      <c r="E52" s="109" t="s">
        <v>1235</v>
      </c>
      <c r="F52" s="109" t="s">
        <v>1235</v>
      </c>
      <c r="G52" s="109" t="s">
        <v>1235</v>
      </c>
      <c r="H52" s="108"/>
      <c r="I52" s="52"/>
      <c r="AX52" s="658" t="str">
        <f>CountryCode &amp; ".T3.DEBT.S1312.MNAC." &amp; RefVintage</f>
        <v>HU.T3.DEBT.S1312.MNAC.W.2019</v>
      </c>
    </row>
    <row r="53" spans="1:50">
      <c r="A53" s="340" t="s">
        <v>373</v>
      </c>
      <c r="B53" s="490" t="s">
        <v>1191</v>
      </c>
      <c r="C53" s="446" t="s">
        <v>109</v>
      </c>
      <c r="D53" s="153" t="s">
        <v>1235</v>
      </c>
      <c r="E53" s="153" t="s">
        <v>1235</v>
      </c>
      <c r="F53" s="153" t="s">
        <v>1235</v>
      </c>
      <c r="G53" s="153" t="s">
        <v>1235</v>
      </c>
      <c r="H53" s="154"/>
      <c r="I53" s="52"/>
      <c r="AX53" s="658" t="str">
        <f>CountryCode &amp; ".T3.HOLD.S1312.MNAC." &amp; RefVintage</f>
        <v>HU.T3.HOLD.S1312.MNAC.W.2019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700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0"/>
      <c r="F64" s="700"/>
      <c r="G64" s="700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75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8" customWidth="1"/>
    <col min="51" max="16384" width="9.7773437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79" t="s">
        <v>1219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75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29/03/2019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0" t="s">
        <v>1120</v>
      </c>
      <c r="C10" s="374" t="s">
        <v>777</v>
      </c>
      <c r="D10" s="91">
        <v>-60581.035500000056</v>
      </c>
      <c r="E10" s="91">
        <v>-102474.97255859978</v>
      </c>
      <c r="F10" s="91">
        <v>-18290.081457999884</v>
      </c>
      <c r="G10" s="92">
        <v>42372.707736677716</v>
      </c>
      <c r="H10" s="4"/>
      <c r="I10" s="52"/>
      <c r="AX10" s="658" t="str">
        <f>CountryCode &amp; ".T3.B9.S1313.MNAC." &amp; RefVintage</f>
        <v>HU.T3.B9.S1313.MNAC.W.2019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1121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17952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303518</v>
      </c>
      <c r="F12" s="259">
        <f t="shared" si="0"/>
        <v>590114</v>
      </c>
      <c r="G12" s="259">
        <f t="shared" si="0"/>
        <v>321438</v>
      </c>
      <c r="H12" s="108"/>
      <c r="I12" s="68"/>
      <c r="AX12" s="659" t="str">
        <f>CountryCode &amp; ".T3.FA.S1313.MNAC." &amp; RefVintage</f>
        <v>HU.T3.FA.S1313.MNAC.W.2019</v>
      </c>
    </row>
    <row r="13" spans="1:50" s="18" customFormat="1" ht="16.5" customHeight="1">
      <c r="A13" s="340" t="s">
        <v>376</v>
      </c>
      <c r="B13" s="490" t="s">
        <v>1122</v>
      </c>
      <c r="C13" s="428" t="s">
        <v>62</v>
      </c>
      <c r="D13" s="109">
        <v>16946</v>
      </c>
      <c r="E13" s="109">
        <v>186844</v>
      </c>
      <c r="F13" s="109">
        <v>423921</v>
      </c>
      <c r="G13" s="109">
        <v>276645</v>
      </c>
      <c r="H13" s="108"/>
      <c r="I13" s="68"/>
      <c r="AX13" s="659" t="str">
        <f>CountryCode &amp; ".T3.F2.S1313.MNAC." &amp; RefVintage</f>
        <v>HU.T3.F2.S1313.MNAC.W.2019</v>
      </c>
    </row>
    <row r="14" spans="1:50" s="18" customFormat="1" ht="16.5" customHeight="1">
      <c r="A14" s="340" t="s">
        <v>377</v>
      </c>
      <c r="B14" s="490" t="s">
        <v>1123</v>
      </c>
      <c r="C14" s="428" t="s">
        <v>472</v>
      </c>
      <c r="D14" s="109">
        <v>11997</v>
      </c>
      <c r="E14" s="109">
        <v>121200</v>
      </c>
      <c r="F14" s="109">
        <v>120252</v>
      </c>
      <c r="G14" s="109">
        <v>21319.000000000004</v>
      </c>
      <c r="H14" s="108"/>
      <c r="I14" s="68"/>
      <c r="AX14" s="659" t="str">
        <f>CountryCode &amp; ".T3.F3.S1313.MNAC." &amp; RefVintage</f>
        <v>HU.T3.F3.S1313.MNAC.W.2019</v>
      </c>
    </row>
    <row r="15" spans="1:50" s="18" customFormat="1" ht="16.5" customHeight="1">
      <c r="A15" s="340" t="s">
        <v>378</v>
      </c>
      <c r="B15" s="490" t="s">
        <v>1124</v>
      </c>
      <c r="C15" s="428" t="s">
        <v>37</v>
      </c>
      <c r="D15" s="109">
        <v>-3621</v>
      </c>
      <c r="E15" s="109">
        <v>-1989</v>
      </c>
      <c r="F15" s="109">
        <v>579</v>
      </c>
      <c r="G15" s="109">
        <v>-2612</v>
      </c>
      <c r="H15" s="108"/>
      <c r="I15" s="68"/>
      <c r="AX15" s="659" t="str">
        <f>CountryCode &amp; ".T3.F4.S1313.MNAC." &amp; RefVintage</f>
        <v>HU.T3.F4.S1313.MNAC.W.2019</v>
      </c>
    </row>
    <row r="16" spans="1:50" s="18" customFormat="1" ht="16.5" customHeight="1">
      <c r="A16" s="340" t="s">
        <v>379</v>
      </c>
      <c r="B16" s="490" t="s">
        <v>1125</v>
      </c>
      <c r="C16" s="429" t="s">
        <v>56</v>
      </c>
      <c r="D16" s="110">
        <v>29353.972999999998</v>
      </c>
      <c r="E16" s="111">
        <v>10143.152406000001</v>
      </c>
      <c r="F16" s="111">
        <v>10099.857094999999</v>
      </c>
      <c r="G16" s="112">
        <v>9468.953583999999</v>
      </c>
      <c r="H16" s="108"/>
      <c r="I16" s="68"/>
      <c r="AX16" s="659" t="str">
        <f>CountryCode &amp; ".T3.F4ACQ.S1313.MNAC." &amp; RefVintage</f>
        <v>HU.T3.F4ACQ.S1313.MNAC.W.2019</v>
      </c>
    </row>
    <row r="17" spans="1:50" s="18" customFormat="1" ht="16.5" customHeight="1">
      <c r="A17" s="340" t="s">
        <v>380</v>
      </c>
      <c r="B17" s="490" t="s">
        <v>1126</v>
      </c>
      <c r="C17" s="429" t="s">
        <v>57</v>
      </c>
      <c r="D17" s="113">
        <v>-32974.972999999998</v>
      </c>
      <c r="E17" s="114">
        <v>-12132.152406000001</v>
      </c>
      <c r="F17" s="114">
        <v>-9520.8570949999994</v>
      </c>
      <c r="G17" s="115">
        <v>-12080.953583999999</v>
      </c>
      <c r="H17" s="108"/>
      <c r="I17" s="68"/>
      <c r="AX17" s="659" t="str">
        <f>CountryCode &amp; ".T3.F4DIS.S1313.MNAC." &amp; RefVintage</f>
        <v>HU.T3.F4DIS.S1313.MNAC.W.2019</v>
      </c>
    </row>
    <row r="18" spans="1:50" s="18" customFormat="1" ht="16.5" customHeight="1">
      <c r="A18" s="340" t="s">
        <v>381</v>
      </c>
      <c r="B18" s="490" t="s">
        <v>1127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HU.T3.F41.S1313.MNAC.W.2019</v>
      </c>
    </row>
    <row r="19" spans="1:50" s="18" customFormat="1" ht="16.5" customHeight="1">
      <c r="A19" s="340" t="s">
        <v>382</v>
      </c>
      <c r="B19" s="490" t="s">
        <v>1128</v>
      </c>
      <c r="C19" s="430" t="s">
        <v>84</v>
      </c>
      <c r="D19" s="109">
        <v>-3621</v>
      </c>
      <c r="E19" s="109">
        <v>-1989</v>
      </c>
      <c r="F19" s="109">
        <v>579</v>
      </c>
      <c r="G19" s="109">
        <v>-2612</v>
      </c>
      <c r="H19" s="108"/>
      <c r="I19" s="68"/>
      <c r="AX19" s="659" t="str">
        <f>CountryCode &amp; ".T3.F42.S1313.MNAC." &amp; RefVintage</f>
        <v>HU.T3.F42.S1313.MNAC.W.2019</v>
      </c>
    </row>
    <row r="20" spans="1:50" s="18" customFormat="1" ht="16.5" customHeight="1">
      <c r="A20" s="340" t="s">
        <v>383</v>
      </c>
      <c r="B20" s="490" t="s">
        <v>1129</v>
      </c>
      <c r="C20" s="431" t="s">
        <v>80</v>
      </c>
      <c r="D20" s="116">
        <v>29353.972999999998</v>
      </c>
      <c r="E20" s="117">
        <v>10143.152406000001</v>
      </c>
      <c r="F20" s="117">
        <v>10099.857094999999</v>
      </c>
      <c r="G20" s="118">
        <v>9468.953583999999</v>
      </c>
      <c r="H20" s="108"/>
      <c r="I20" s="68"/>
      <c r="AX20" s="659" t="str">
        <f>CountryCode &amp; ".T3.F42ACQ.S1313.MNAC." &amp; RefVintage</f>
        <v>HU.T3.F42ACQ.S1313.MNAC.W.2019</v>
      </c>
    </row>
    <row r="21" spans="1:50" s="18" customFormat="1" ht="16.5" customHeight="1">
      <c r="A21" s="340" t="s">
        <v>384</v>
      </c>
      <c r="B21" s="490" t="s">
        <v>1130</v>
      </c>
      <c r="C21" s="431" t="s">
        <v>81</v>
      </c>
      <c r="D21" s="119">
        <v>-32974.972999999998</v>
      </c>
      <c r="E21" s="120">
        <v>-12132.152406000001</v>
      </c>
      <c r="F21" s="120">
        <v>-9520.8570949999994</v>
      </c>
      <c r="G21" s="121">
        <v>-12080.953583999999</v>
      </c>
      <c r="H21" s="108"/>
      <c r="I21" s="68"/>
      <c r="AX21" s="659" t="str">
        <f>CountryCode &amp; ".T3.F42DIS.S1313.MNAC." &amp; RefVintage</f>
        <v>HU.T3.F42DIS.S1313.MNAC.W.2019</v>
      </c>
    </row>
    <row r="22" spans="1:50" s="18" customFormat="1" ht="16.5" customHeight="1">
      <c r="A22" s="340" t="s">
        <v>385</v>
      </c>
      <c r="B22" s="490" t="s">
        <v>1131</v>
      </c>
      <c r="C22" s="428" t="s">
        <v>473</v>
      </c>
      <c r="D22" s="109">
        <v>-1068</v>
      </c>
      <c r="E22" s="109">
        <v>-4456</v>
      </c>
      <c r="F22" s="109">
        <v>12804</v>
      </c>
      <c r="G22" s="109">
        <v>-4413</v>
      </c>
      <c r="H22" s="108"/>
      <c r="I22" s="68"/>
      <c r="AX22" s="659" t="str">
        <f>CountryCode &amp; ".T3.F5.S1313.MNAC." &amp; RefVintage</f>
        <v>HU.T3.F5.S1313.MNAC.W.2019</v>
      </c>
    </row>
    <row r="23" spans="1:50" s="18" customFormat="1" ht="16.5" customHeight="1">
      <c r="A23" s="340" t="s">
        <v>386</v>
      </c>
      <c r="B23" s="490" t="s">
        <v>1132</v>
      </c>
      <c r="C23" s="430" t="s">
        <v>96</v>
      </c>
      <c r="D23" s="109">
        <v>-115.99999999999999</v>
      </c>
      <c r="E23" s="109">
        <v>466</v>
      </c>
      <c r="F23" s="109">
        <v>-1396</v>
      </c>
      <c r="G23" s="109">
        <v>-1700</v>
      </c>
      <c r="H23" s="108"/>
      <c r="I23" s="68"/>
      <c r="AX23" s="659" t="str">
        <f>CountryCode &amp; ".T3.F5PN.S1313.MNAC." &amp; RefVintage</f>
        <v>HU.T3.F5PN.S1313.MNAC.W.2019</v>
      </c>
    </row>
    <row r="24" spans="1:50" s="18" customFormat="1" ht="16.5" customHeight="1">
      <c r="A24" s="340" t="s">
        <v>387</v>
      </c>
      <c r="B24" s="490" t="s">
        <v>1133</v>
      </c>
      <c r="C24" s="430" t="s">
        <v>474</v>
      </c>
      <c r="D24" s="109">
        <v>-952</v>
      </c>
      <c r="E24" s="109">
        <v>-4922</v>
      </c>
      <c r="F24" s="109">
        <v>14200</v>
      </c>
      <c r="G24" s="109">
        <v>-2713</v>
      </c>
      <c r="H24" s="108"/>
      <c r="I24" s="68"/>
      <c r="AX24" s="659" t="str">
        <f>CountryCode &amp; ".T3.F5OP.S1313.MNAC." &amp; RefVintage</f>
        <v>HU.T3.F5OP.S1313.MNAC.W.2019</v>
      </c>
    </row>
    <row r="25" spans="1:50" s="18" customFormat="1" ht="16.5" customHeight="1">
      <c r="A25" s="340" t="s">
        <v>388</v>
      </c>
      <c r="B25" s="490" t="s">
        <v>1134</v>
      </c>
      <c r="C25" s="431" t="s">
        <v>85</v>
      </c>
      <c r="D25" s="122">
        <v>2413.8045000000002</v>
      </c>
      <c r="E25" s="123">
        <v>2001.3216636000002</v>
      </c>
      <c r="F25" s="123">
        <v>18163.308912249999</v>
      </c>
      <c r="G25" s="124">
        <v>6828.0233048999999</v>
      </c>
      <c r="H25" s="108"/>
      <c r="I25" s="68"/>
      <c r="AX25" s="659" t="str">
        <f>CountryCode &amp; ".T3.F5OPACQ.S1313.MNAC." &amp; RefVintage</f>
        <v>HU.T3.F5OPACQ.S1313.MNAC.W.2019</v>
      </c>
    </row>
    <row r="26" spans="1:50" s="18" customFormat="1" ht="16.5" customHeight="1" thickBot="1">
      <c r="A26" s="340" t="s">
        <v>389</v>
      </c>
      <c r="B26" s="490" t="s">
        <v>1135</v>
      </c>
      <c r="C26" s="431" t="s">
        <v>86</v>
      </c>
      <c r="D26" s="122">
        <v>-3365.8045000000002</v>
      </c>
      <c r="E26" s="123">
        <v>-6923.3216635999997</v>
      </c>
      <c r="F26" s="123">
        <v>-3963.3089122499987</v>
      </c>
      <c r="G26" s="124">
        <v>-9541.0233048999999</v>
      </c>
      <c r="H26" s="108"/>
      <c r="I26" s="68"/>
      <c r="AX26" s="659" t="str">
        <f>CountryCode &amp; ".T3.F5OPDIS.S1313.MNAC." &amp; RefVintage</f>
        <v>HU.T3.F5OPDIS.S1313.MNAC.W.2019</v>
      </c>
    </row>
    <row r="27" spans="1:50" s="18" customFormat="1" ht="16.5" customHeight="1">
      <c r="A27" s="421" t="s">
        <v>496</v>
      </c>
      <c r="B27" s="490" t="s">
        <v>1136</v>
      </c>
      <c r="C27" s="428" t="s">
        <v>458</v>
      </c>
      <c r="D27" s="109">
        <v>0</v>
      </c>
      <c r="E27" s="109">
        <v>0</v>
      </c>
      <c r="F27" s="109">
        <v>0</v>
      </c>
      <c r="G27" s="109">
        <v>8</v>
      </c>
      <c r="H27" s="108"/>
      <c r="I27" s="68"/>
      <c r="AX27" s="659" t="str">
        <f>CountryCode &amp; ".T3.F71.S1313.MNAC." &amp; RefVintage</f>
        <v>HU.T3.F71.S1313.MNAC.W.2019</v>
      </c>
    </row>
    <row r="28" spans="1:50" s="18" customFormat="1" ht="16.5" customHeight="1" thickBot="1">
      <c r="A28" s="422" t="s">
        <v>497</v>
      </c>
      <c r="B28" s="490" t="s">
        <v>1137</v>
      </c>
      <c r="C28" s="428" t="s">
        <v>461</v>
      </c>
      <c r="D28" s="109">
        <v>-6279</v>
      </c>
      <c r="E28" s="109">
        <v>1987</v>
      </c>
      <c r="F28" s="109">
        <v>32577</v>
      </c>
      <c r="G28" s="109">
        <v>30380</v>
      </c>
      <c r="H28" s="108"/>
      <c r="I28" s="68"/>
      <c r="AX28" s="659" t="str">
        <f>CountryCode &amp; ".T3.F8.S1313.MNAC." &amp; RefVintage</f>
        <v>HU.T3.F8.S1313.MNAC.W.2019</v>
      </c>
    </row>
    <row r="29" spans="1:50" s="18" customFormat="1" ht="16.5" customHeight="1">
      <c r="A29" s="340" t="s">
        <v>390</v>
      </c>
      <c r="B29" s="490" t="s">
        <v>1138</v>
      </c>
      <c r="C29" s="428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59" t="str">
        <f>CountryCode &amp; ".T3.OFA.S1313.MNAC." &amp; RefVintage</f>
        <v>HU.T3.OFA.S1313.MNAC.W.2019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43122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-162489</v>
      </c>
      <c r="F31" s="436">
        <f t="shared" si="1"/>
        <v>-510517</v>
      </c>
      <c r="G31" s="436">
        <f t="shared" si="1"/>
        <v>-271114</v>
      </c>
      <c r="H31" s="108"/>
      <c r="I31" s="68"/>
      <c r="AX31" s="659" t="str">
        <f>CountryCode &amp; ".T3.ADJ.S1313.MNAC." &amp; RefVintage</f>
        <v>HU.T3.ADJ.S1313.MNAC.W.2019</v>
      </c>
    </row>
    <row r="32" spans="1:50" s="18" customFormat="1" ht="16.5" customHeight="1" thickBot="1">
      <c r="A32" s="340" t="s">
        <v>392</v>
      </c>
      <c r="B32" s="490" t="s">
        <v>1140</v>
      </c>
      <c r="C32" s="428" t="s">
        <v>475</v>
      </c>
      <c r="D32" s="109">
        <v>0</v>
      </c>
      <c r="E32" s="109">
        <v>0</v>
      </c>
      <c r="F32" s="109">
        <v>0</v>
      </c>
      <c r="G32" s="109">
        <v>9.0000000000000018</v>
      </c>
      <c r="H32" s="108"/>
      <c r="I32" s="68"/>
      <c r="AX32" s="659" t="str">
        <f>CountryCode &amp; ".T3.LIA.S1313.MNAC." &amp; RefVintage</f>
        <v>HU.T3.LIA.S1313.MNAC.W.2019</v>
      </c>
    </row>
    <row r="33" spans="1:50" s="18" customFormat="1" ht="16.5" customHeight="1" thickBot="1">
      <c r="A33" s="322" t="s">
        <v>504</v>
      </c>
      <c r="B33" s="490" t="s">
        <v>1141</v>
      </c>
      <c r="C33" s="428" t="s">
        <v>462</v>
      </c>
      <c r="D33" s="109">
        <v>34392</v>
      </c>
      <c r="E33" s="109">
        <v>-162511</v>
      </c>
      <c r="F33" s="109">
        <v>-509910</v>
      </c>
      <c r="G33" s="109">
        <v>-271517</v>
      </c>
      <c r="H33" s="108"/>
      <c r="I33" s="68"/>
      <c r="AX33" s="659" t="str">
        <f>CountryCode &amp; ".T3.OAP.S1313.MNAC." &amp; RefVintage</f>
        <v>HU.T3.OAP.S1313.MNAC.W.2019</v>
      </c>
    </row>
    <row r="34" spans="1:50" s="18" customFormat="1" ht="16.5" customHeight="1">
      <c r="A34" s="340" t="s">
        <v>393</v>
      </c>
      <c r="B34" s="490" t="s">
        <v>1142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1143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HU.T3.ISS_A.S1313.MNAC.W.2019</v>
      </c>
    </row>
    <row r="37" spans="1:50" s="18" customFormat="1" ht="16.5" customHeight="1">
      <c r="A37" s="340" t="s">
        <v>395</v>
      </c>
      <c r="B37" s="490" t="s">
        <v>1144</v>
      </c>
      <c r="C37" s="428" t="s">
        <v>477</v>
      </c>
      <c r="D37" s="109">
        <v>-4.0000000000000036</v>
      </c>
      <c r="E37" s="109">
        <v>-52.000000000000007</v>
      </c>
      <c r="F37" s="109">
        <v>-6.999999999999992</v>
      </c>
      <c r="G37" s="109">
        <v>-83</v>
      </c>
      <c r="H37" s="108"/>
      <c r="I37" s="68"/>
      <c r="AX37" s="659" t="str">
        <f>CountryCode &amp; ".T3.D41_A.S1313.MNAC." &amp; RefVintage</f>
        <v>HU.T3.D41_A.S1313.MNAC.W.2019</v>
      </c>
    </row>
    <row r="38" spans="1:50" s="237" customFormat="1" ht="16.5" customHeight="1">
      <c r="A38" s="340" t="s">
        <v>396</v>
      </c>
      <c r="B38" s="490" t="s">
        <v>1145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1146</v>
      </c>
      <c r="C40" s="428" t="s">
        <v>97</v>
      </c>
      <c r="D40" s="109">
        <v>326</v>
      </c>
      <c r="E40" s="109">
        <v>74</v>
      </c>
      <c r="F40" s="109">
        <v>-600</v>
      </c>
      <c r="G40" s="109">
        <v>477</v>
      </c>
      <c r="H40" s="108"/>
      <c r="I40" s="68"/>
      <c r="AX40" s="659" t="str">
        <f>CountryCode &amp; ".T3.FREV_A.S1313.MNAC." &amp; RefVintage</f>
        <v>HU.T3.FREV_A.S1313.MNAC.W.2019</v>
      </c>
    </row>
    <row r="41" spans="1:50" s="18" customFormat="1" ht="16.5" customHeight="1">
      <c r="A41" s="340" t="s">
        <v>523</v>
      </c>
      <c r="B41" s="490" t="s">
        <v>1147</v>
      </c>
      <c r="C41" s="428" t="s">
        <v>479</v>
      </c>
      <c r="D41" s="109">
        <v>8408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HU.T3.K61.S1313.MNAC.W.2019</v>
      </c>
    </row>
    <row r="42" spans="1:50" s="18" customFormat="1" ht="16.5" customHeight="1">
      <c r="A42" s="340" t="s">
        <v>398</v>
      </c>
      <c r="B42" s="490" t="s">
        <v>1148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1149</v>
      </c>
      <c r="C44" s="433" t="s">
        <v>65</v>
      </c>
      <c r="D44" s="109">
        <v>14103.035500000056</v>
      </c>
      <c r="E44" s="109">
        <v>-18515.02744140022</v>
      </c>
      <c r="F44" s="109">
        <v>-11952.918542000116</v>
      </c>
      <c r="G44" s="109">
        <v>-21593.707736677723</v>
      </c>
      <c r="H44" s="108"/>
      <c r="I44" s="68"/>
      <c r="AX44" s="659" t="str">
        <f>CountryCode &amp; ".T3.SD.S1313.MNAC." &amp; RefVintage</f>
        <v>HU.T3.SD.S1313.MNAC.W.2019</v>
      </c>
    </row>
    <row r="45" spans="1:50" s="18" customFormat="1" ht="16.5" customHeight="1">
      <c r="A45" s="340" t="s">
        <v>400</v>
      </c>
      <c r="B45" s="490" t="s">
        <v>1150</v>
      </c>
      <c r="C45" s="428" t="s">
        <v>75</v>
      </c>
      <c r="D45" s="109">
        <v>14103.035500000056</v>
      </c>
      <c r="E45" s="109">
        <v>-18515.02744140022</v>
      </c>
      <c r="F45" s="109">
        <v>-11952.918542000116</v>
      </c>
      <c r="G45" s="109">
        <v>-21593.707736677723</v>
      </c>
      <c r="H45" s="108"/>
      <c r="I45" s="68"/>
      <c r="AX45" s="659" t="str">
        <f>CountryCode &amp; ".T3.B9_SD.S1313.MNAC." &amp; RefVintage</f>
        <v>HU.T3.B9_SD.S1313.MNAC.W.2019</v>
      </c>
    </row>
    <row r="46" spans="1:50" s="18" customFormat="1" ht="16.5" customHeight="1">
      <c r="A46" s="340" t="s">
        <v>401</v>
      </c>
      <c r="B46" s="490" t="s">
        <v>1151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HU.T3.OSD.S1313.MNAC.W.2019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1152</v>
      </c>
      <c r="C48" s="374" t="s">
        <v>112</v>
      </c>
      <c r="D48" s="94">
        <v>14596.000000000004</v>
      </c>
      <c r="E48" s="94">
        <v>20039</v>
      </c>
      <c r="F48" s="94">
        <v>49353.999999999985</v>
      </c>
      <c r="G48" s="95">
        <v>71103.000000000015</v>
      </c>
      <c r="H48" s="6"/>
      <c r="I48" s="68"/>
      <c r="AX48" s="659" t="str">
        <f>CountryCode &amp; ".T3.CHDEBT.S1313.MNAC." &amp; RefVintage</f>
        <v>HU.T3.CHDEBT.S1313.MNAC.W.2019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8.75" thickTop="1" thickBot="1">
      <c r="A51" s="340" t="s">
        <v>403</v>
      </c>
      <c r="B51" s="490" t="s">
        <v>1153</v>
      </c>
      <c r="C51" s="374" t="s">
        <v>113</v>
      </c>
      <c r="D51" s="91">
        <v>33263</v>
      </c>
      <c r="E51" s="91">
        <v>-155965</v>
      </c>
      <c r="F51" s="91">
        <v>-389597.00000000006</v>
      </c>
      <c r="G51" s="92">
        <v>-762771.99999999988</v>
      </c>
      <c r="H51" s="4"/>
      <c r="I51" s="52"/>
      <c r="AX51" s="658" t="str">
        <f>CountryCode &amp; ".T3.CTDEBT.S1313.MNAC." &amp; RefVintage</f>
        <v>HU.T3.CTDEBT.S1313.MNAC.W.2019</v>
      </c>
    </row>
    <row r="52" spans="1:50" s="23" customFormat="1" ht="15.75" thickTop="1">
      <c r="A52" s="340" t="s">
        <v>404</v>
      </c>
      <c r="B52" s="490" t="s">
        <v>1154</v>
      </c>
      <c r="C52" s="428" t="s">
        <v>114</v>
      </c>
      <c r="D52" s="109">
        <v>60343</v>
      </c>
      <c r="E52" s="109">
        <v>80382</v>
      </c>
      <c r="F52" s="109">
        <v>129735.99999999999</v>
      </c>
      <c r="G52" s="109">
        <v>200839</v>
      </c>
      <c r="H52" s="108"/>
      <c r="I52" s="52"/>
      <c r="AX52" s="658" t="str">
        <f>CountryCode &amp; ".T3.DEBT.S1313.MNAC." &amp; RefVintage</f>
        <v>HU.T3.DEBT.S1313.MNAC.W.2019</v>
      </c>
    </row>
    <row r="53" spans="1:50" s="23" customFormat="1">
      <c r="A53" s="340" t="s">
        <v>405</v>
      </c>
      <c r="B53" s="490" t="s">
        <v>1155</v>
      </c>
      <c r="C53" s="446" t="s">
        <v>115</v>
      </c>
      <c r="D53" s="153">
        <v>27080.000000000004</v>
      </c>
      <c r="E53" s="153">
        <v>236347</v>
      </c>
      <c r="F53" s="153">
        <v>519333.00000000006</v>
      </c>
      <c r="G53" s="153">
        <v>963610.99999999988</v>
      </c>
      <c r="H53" s="154"/>
      <c r="I53" s="52"/>
      <c r="AX53" s="658" t="str">
        <f>CountryCode &amp; ".T3.HOLD.S1313.MNAC." &amp; RefVintage</f>
        <v>HU.T3.HOLD.S1313.MNAC.W.2019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20.25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0"/>
      <c r="F64" s="700"/>
      <c r="G64" s="700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-3.637978807091713E-12</v>
      </c>
      <c r="H67" s="437"/>
      <c r="I67" s="244"/>
      <c r="J67" s="29"/>
      <c r="AX67" s="658"/>
    </row>
    <row r="68" spans="1:50" s="23" customFormat="1" ht="15.75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75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8" customWidth="1"/>
    <col min="51" max="16384" width="9.7773437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79" t="s">
        <v>1219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75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29/03/2019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0" t="s">
        <v>1084</v>
      </c>
      <c r="C10" s="374" t="s">
        <v>778</v>
      </c>
      <c r="D10" s="91">
        <v>-9198.4359999995577</v>
      </c>
      <c r="E10" s="91">
        <v>26584.423517000338</v>
      </c>
      <c r="F10" s="91">
        <v>23524.042337000254</v>
      </c>
      <c r="G10" s="92">
        <v>-94052.827289000328</v>
      </c>
      <c r="H10" s="4"/>
      <c r="I10" s="52"/>
      <c r="AX10" s="658" t="str">
        <f>CountryCode &amp; ".T3.B9.S1314.MNAC." &amp; RefVintage</f>
        <v>HU.T3.B9.S1314.MNAC.W.2019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30059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23581</v>
      </c>
      <c r="F12" s="259">
        <f t="shared" si="0"/>
        <v>14782</v>
      </c>
      <c r="G12" s="259">
        <f t="shared" si="0"/>
        <v>16357</v>
      </c>
      <c r="H12" s="155"/>
      <c r="I12" s="68"/>
      <c r="AX12" s="659" t="str">
        <f>CountryCode &amp; ".T3.FA.S1314.MNAC." &amp; RefVintage</f>
        <v>HU.T3.FA.S1314.MNAC.W.2019</v>
      </c>
    </row>
    <row r="13" spans="1:50" s="18" customFormat="1" ht="16.5" customHeight="1">
      <c r="A13" s="340" t="s">
        <v>408</v>
      </c>
      <c r="B13" s="490" t="s">
        <v>1086</v>
      </c>
      <c r="C13" s="428" t="s">
        <v>62</v>
      </c>
      <c r="D13" s="109">
        <v>4734</v>
      </c>
      <c r="E13" s="109">
        <v>14234</v>
      </c>
      <c r="F13" s="109">
        <v>-4812</v>
      </c>
      <c r="G13" s="109">
        <v>-22</v>
      </c>
      <c r="H13" s="108"/>
      <c r="I13" s="68"/>
      <c r="AX13" s="659" t="str">
        <f>CountryCode &amp; ".T3.F2.S1314.MNAC." &amp; RefVintage</f>
        <v>HU.T3.F2.S1314.MNAC.W.2019</v>
      </c>
    </row>
    <row r="14" spans="1:50" s="18" customFormat="1" ht="16.5" customHeight="1">
      <c r="A14" s="340" t="s">
        <v>409</v>
      </c>
      <c r="B14" s="490" t="s">
        <v>1087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HU.T3.F3.S1314.MNAC.W.2019</v>
      </c>
    </row>
    <row r="15" spans="1:50" s="18" customFormat="1" ht="16.5" customHeight="1">
      <c r="A15" s="340" t="s">
        <v>410</v>
      </c>
      <c r="B15" s="490" t="s">
        <v>1088</v>
      </c>
      <c r="C15" s="428" t="s">
        <v>37</v>
      </c>
      <c r="D15" s="109">
        <v>-66</v>
      </c>
      <c r="E15" s="109">
        <v>-49</v>
      </c>
      <c r="F15" s="109">
        <v>-36</v>
      </c>
      <c r="G15" s="109">
        <v>-98</v>
      </c>
      <c r="H15" s="108"/>
      <c r="I15" s="68"/>
      <c r="AX15" s="659" t="str">
        <f>CountryCode &amp; ".T3.F4.S1314.MNAC." &amp; RefVintage</f>
        <v>HU.T3.F4.S1314.MNAC.W.2019</v>
      </c>
    </row>
    <row r="16" spans="1:50" s="18" customFormat="1" ht="16.5" customHeight="1">
      <c r="A16" s="340" t="s">
        <v>411</v>
      </c>
      <c r="B16" s="490" t="s">
        <v>1089</v>
      </c>
      <c r="C16" s="429" t="s">
        <v>56</v>
      </c>
      <c r="D16" s="110">
        <v>22.372</v>
      </c>
      <c r="E16" s="111">
        <v>0</v>
      </c>
      <c r="F16" s="111">
        <v>0</v>
      </c>
      <c r="G16" s="112">
        <v>0</v>
      </c>
      <c r="H16" s="108"/>
      <c r="I16" s="68"/>
      <c r="AX16" s="659" t="str">
        <f>CountryCode &amp; ".T3.F4ACQ.S1314.MNAC." &amp; RefVintage</f>
        <v>HU.T3.F4ACQ.S1314.MNAC.W.2019</v>
      </c>
    </row>
    <row r="17" spans="1:50" s="18" customFormat="1" ht="16.5" customHeight="1">
      <c r="A17" s="340" t="s">
        <v>412</v>
      </c>
      <c r="B17" s="490" t="s">
        <v>1090</v>
      </c>
      <c r="C17" s="429" t="s">
        <v>57</v>
      </c>
      <c r="D17" s="113">
        <v>-88.372</v>
      </c>
      <c r="E17" s="114">
        <v>-49</v>
      </c>
      <c r="F17" s="114">
        <v>-36</v>
      </c>
      <c r="G17" s="115">
        <v>-98</v>
      </c>
      <c r="H17" s="108"/>
      <c r="I17" s="68"/>
      <c r="AX17" s="659" t="str">
        <f>CountryCode &amp; ".T3.F4DIS.S1314.MNAC." &amp; RefVintage</f>
        <v>HU.T3.F4DIS.S1314.MNAC.W.2019</v>
      </c>
    </row>
    <row r="18" spans="1:50" s="18" customFormat="1" ht="16.5" customHeight="1">
      <c r="A18" s="340" t="s">
        <v>413</v>
      </c>
      <c r="B18" s="490" t="s">
        <v>1091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HU.T3.F41.S1314.MNAC.W.2019</v>
      </c>
    </row>
    <row r="19" spans="1:50" s="18" customFormat="1" ht="16.5" customHeight="1">
      <c r="A19" s="340" t="s">
        <v>414</v>
      </c>
      <c r="B19" s="490" t="s">
        <v>1092</v>
      </c>
      <c r="C19" s="430" t="s">
        <v>84</v>
      </c>
      <c r="D19" s="109">
        <v>-66</v>
      </c>
      <c r="E19" s="109">
        <v>-49</v>
      </c>
      <c r="F19" s="109">
        <v>-36</v>
      </c>
      <c r="G19" s="109">
        <v>-98</v>
      </c>
      <c r="H19" s="108"/>
      <c r="I19" s="68"/>
      <c r="AX19" s="659" t="str">
        <f>CountryCode &amp; ".T3.F42.S1314.MNAC." &amp; RefVintage</f>
        <v>HU.T3.F42.S1314.MNAC.W.2019</v>
      </c>
    </row>
    <row r="20" spans="1:50" s="18" customFormat="1" ht="16.5" customHeight="1">
      <c r="A20" s="340" t="s">
        <v>415</v>
      </c>
      <c r="B20" s="490" t="s">
        <v>1093</v>
      </c>
      <c r="C20" s="431" t="s">
        <v>80</v>
      </c>
      <c r="D20" s="116">
        <v>22.372</v>
      </c>
      <c r="E20" s="117">
        <v>0</v>
      </c>
      <c r="F20" s="117">
        <v>0</v>
      </c>
      <c r="G20" s="118">
        <v>0</v>
      </c>
      <c r="H20" s="108"/>
      <c r="I20" s="68"/>
      <c r="AX20" s="659" t="str">
        <f>CountryCode &amp; ".T3.F42ACQ.S1314.MNAC." &amp; RefVintage</f>
        <v>HU.T3.F42ACQ.S1314.MNAC.W.2019</v>
      </c>
    </row>
    <row r="21" spans="1:50" s="18" customFormat="1" ht="16.5" customHeight="1">
      <c r="A21" s="340" t="s">
        <v>416</v>
      </c>
      <c r="B21" s="490" t="s">
        <v>1094</v>
      </c>
      <c r="C21" s="431" t="s">
        <v>81</v>
      </c>
      <c r="D21" s="119">
        <v>-88.372</v>
      </c>
      <c r="E21" s="120">
        <v>-49</v>
      </c>
      <c r="F21" s="120">
        <v>-36</v>
      </c>
      <c r="G21" s="121">
        <v>-98</v>
      </c>
      <c r="H21" s="108"/>
      <c r="I21" s="68"/>
      <c r="AX21" s="659" t="str">
        <f>CountryCode &amp; ".T3.F42DIS.S1314.MNAC." &amp; RefVintage</f>
        <v>HU.T3.F42DIS.S1314.MNAC.W.2019</v>
      </c>
    </row>
    <row r="22" spans="1:50" s="18" customFormat="1" ht="16.5" customHeight="1">
      <c r="A22" s="340" t="s">
        <v>417</v>
      </c>
      <c r="B22" s="490" t="s">
        <v>1095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HU.T3.F5.S1314.MNAC.W.2019</v>
      </c>
    </row>
    <row r="23" spans="1:50" s="18" customFormat="1" ht="16.5" customHeight="1">
      <c r="A23" s="340" t="s">
        <v>418</v>
      </c>
      <c r="B23" s="490" t="s">
        <v>1096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HU.T3.F5PN.S1314.MNAC.W.2019</v>
      </c>
    </row>
    <row r="24" spans="1:50" s="18" customFormat="1" ht="16.5" customHeight="1">
      <c r="A24" s="340" t="s">
        <v>419</v>
      </c>
      <c r="B24" s="490" t="s">
        <v>1097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HU.T3.F5OP.S1314.MNAC.W.2019</v>
      </c>
    </row>
    <row r="25" spans="1:50" s="18" customFormat="1" ht="16.5" customHeight="1">
      <c r="A25" s="340" t="s">
        <v>420</v>
      </c>
      <c r="B25" s="490" t="s">
        <v>1098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HU.T3.F5OPACQ.S1314.MNAC.W.2019</v>
      </c>
    </row>
    <row r="26" spans="1:50" s="18" customFormat="1" ht="16.5" customHeight="1" thickBot="1">
      <c r="A26" s="340" t="s">
        <v>421</v>
      </c>
      <c r="B26" s="490" t="s">
        <v>1099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HU.T3.F5OPDIS.S1314.MNAC.W.2019</v>
      </c>
    </row>
    <row r="27" spans="1:50" s="18" customFormat="1" ht="16.5" customHeight="1">
      <c r="A27" s="421" t="s">
        <v>494</v>
      </c>
      <c r="B27" s="490" t="s">
        <v>1100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HU.T3.F71.S1314.MNAC.W.2019</v>
      </c>
    </row>
    <row r="28" spans="1:50" s="18" customFormat="1" ht="16.5" customHeight="1" thickBot="1">
      <c r="A28" s="422" t="s">
        <v>495</v>
      </c>
      <c r="B28" s="490" t="s">
        <v>1101</v>
      </c>
      <c r="C28" s="428" t="s">
        <v>461</v>
      </c>
      <c r="D28" s="109">
        <v>25391</v>
      </c>
      <c r="E28" s="109">
        <v>9396</v>
      </c>
      <c r="F28" s="109">
        <v>19630</v>
      </c>
      <c r="G28" s="109">
        <v>16477</v>
      </c>
      <c r="H28" s="108"/>
      <c r="I28" s="68"/>
      <c r="AX28" s="659" t="str">
        <f>CountryCode &amp; ".T3.F8.S1314.MNAC." &amp; RefVintage</f>
        <v>HU.T3.F8.S1314.MNAC.W.2019</v>
      </c>
    </row>
    <row r="29" spans="1:50" s="18" customFormat="1" ht="16.5" customHeight="1">
      <c r="A29" s="340" t="s">
        <v>422</v>
      </c>
      <c r="B29" s="490" t="s">
        <v>1102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1103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-75.999999999996362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-1688</v>
      </c>
      <c r="F31" s="436">
        <f t="shared" si="1"/>
        <v>274</v>
      </c>
      <c r="G31" s="436">
        <f t="shared" si="1"/>
        <v>-689</v>
      </c>
      <c r="H31" s="108"/>
      <c r="I31" s="68"/>
      <c r="AX31" s="659" t="str">
        <f>CountryCode &amp; ".T3.ADJ.S1314.MNAC." &amp; RefVintage</f>
        <v>HU.T3.ADJ.S1314.MNAC.W.2019</v>
      </c>
    </row>
    <row r="32" spans="1:50" s="18" customFormat="1" ht="16.5" customHeight="1" thickBot="1">
      <c r="A32" s="340" t="s">
        <v>424</v>
      </c>
      <c r="B32" s="490" t="s">
        <v>1104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HU.T3.LIA.S1314.MNAC.W.2019</v>
      </c>
    </row>
    <row r="33" spans="1:50" s="18" customFormat="1" ht="16.5" customHeight="1" thickBot="1">
      <c r="A33" s="322" t="s">
        <v>505</v>
      </c>
      <c r="B33" s="490" t="s">
        <v>1105</v>
      </c>
      <c r="C33" s="428" t="s">
        <v>462</v>
      </c>
      <c r="D33" s="109">
        <v>-76</v>
      </c>
      <c r="E33" s="109">
        <v>-1688</v>
      </c>
      <c r="F33" s="109">
        <v>274</v>
      </c>
      <c r="G33" s="109">
        <v>-689</v>
      </c>
      <c r="H33" s="108"/>
      <c r="I33" s="68"/>
      <c r="AX33" s="659" t="str">
        <f>CountryCode &amp; ".T3.OAP.S1314.MNAC." &amp; RefVintage</f>
        <v>HU.T3.OAP.S1314.MNAC.W.2019</v>
      </c>
    </row>
    <row r="34" spans="1:50" s="18" customFormat="1" ht="16.5" customHeight="1">
      <c r="A34" s="340" t="s">
        <v>425</v>
      </c>
      <c r="B34" s="490" t="s">
        <v>1106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1107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HU.T3.ISS_A.S1314.MNAC.W.2019</v>
      </c>
    </row>
    <row r="37" spans="1:50" s="18" customFormat="1" ht="16.5" customHeight="1">
      <c r="A37" s="340" t="s">
        <v>427</v>
      </c>
      <c r="B37" s="490" t="s">
        <v>1108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HU.T3.D41_A.S1314.MNAC.W.2019</v>
      </c>
    </row>
    <row r="38" spans="1:50" s="237" customFormat="1" ht="16.5" customHeight="1">
      <c r="A38" s="340" t="s">
        <v>428</v>
      </c>
      <c r="B38" s="490" t="s">
        <v>1109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1110</v>
      </c>
      <c r="C40" s="428" t="s">
        <v>97</v>
      </c>
      <c r="D40" s="109">
        <v>3.637978807091713E-12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HU.T3.FREV_A.S1314.MNAC.W.2019</v>
      </c>
    </row>
    <row r="41" spans="1:50" s="18" customFormat="1" ht="16.5" customHeight="1">
      <c r="A41" s="340" t="s">
        <v>524</v>
      </c>
      <c r="B41" s="490" t="s">
        <v>1111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HU.T3.K61.S1314.MNAC.W.2019</v>
      </c>
    </row>
    <row r="42" spans="1:50" s="18" customFormat="1" ht="16.5" customHeight="1">
      <c r="A42" s="340" t="s">
        <v>430</v>
      </c>
      <c r="B42" s="490" t="s">
        <v>1112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1113</v>
      </c>
      <c r="C44" s="433" t="s">
        <v>65</v>
      </c>
      <c r="D44" s="109">
        <v>5107.4359999995613</v>
      </c>
      <c r="E44" s="109">
        <v>9459.5764829996624</v>
      </c>
      <c r="F44" s="109">
        <v>3146.9576629997537</v>
      </c>
      <c r="G44" s="109">
        <v>17394.827289000321</v>
      </c>
      <c r="H44" s="108"/>
      <c r="I44" s="68"/>
      <c r="AX44" s="659" t="str">
        <f>CountryCode &amp; ".T3.SD.S1314.MNAC." &amp; RefVintage</f>
        <v>HU.T3.SD.S1314.MNAC.W.2019</v>
      </c>
    </row>
    <row r="45" spans="1:50" s="18" customFormat="1" ht="16.5" customHeight="1">
      <c r="A45" s="340" t="s">
        <v>432</v>
      </c>
      <c r="B45" s="490" t="s">
        <v>1114</v>
      </c>
      <c r="C45" s="428" t="s">
        <v>75</v>
      </c>
      <c r="D45" s="109">
        <v>5107.4359999995613</v>
      </c>
      <c r="E45" s="109">
        <v>9459.5764829996624</v>
      </c>
      <c r="F45" s="109">
        <v>3146.9576629997537</v>
      </c>
      <c r="G45" s="109">
        <v>17394.827289000321</v>
      </c>
      <c r="H45" s="108"/>
      <c r="I45" s="68"/>
      <c r="AX45" s="659" t="str">
        <f>CountryCode &amp; ".T3.B9_SD.S1314.MNAC." &amp; RefVintage</f>
        <v>HU.T3.B9_SD.S1314.MNAC.W.2019</v>
      </c>
    </row>
    <row r="46" spans="1:50" s="18" customFormat="1" ht="16.5" customHeight="1">
      <c r="A46" s="340" t="s">
        <v>433</v>
      </c>
      <c r="B46" s="490" t="s">
        <v>1115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HU.T3.OSD.S1314.MNAC.W.2019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1116</v>
      </c>
      <c r="C48" s="374" t="s">
        <v>117</v>
      </c>
      <c r="D48" s="94">
        <v>25892.000000000004</v>
      </c>
      <c r="E48" s="94">
        <v>57937</v>
      </c>
      <c r="F48" s="94">
        <v>41727.000000000007</v>
      </c>
      <c r="G48" s="95">
        <v>-60990.000000000007</v>
      </c>
      <c r="H48" s="6"/>
      <c r="I48" s="68"/>
      <c r="AX48" s="659" t="str">
        <f>CountryCode &amp; ".T3.CHDEBT.S1314.MNAC." &amp; RefVintage</f>
        <v>HU.T3.CHDEBT.S1314.MNAC.W.2019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0" t="s">
        <v>1117</v>
      </c>
      <c r="C51" s="374" t="s">
        <v>118</v>
      </c>
      <c r="D51" s="91">
        <v>29894</v>
      </c>
      <c r="E51" s="91">
        <v>73597</v>
      </c>
      <c r="F51" s="91">
        <v>120133</v>
      </c>
      <c r="G51" s="92">
        <v>59164</v>
      </c>
      <c r="H51" s="4"/>
      <c r="I51" s="52"/>
      <c r="AX51" s="658" t="str">
        <f>CountryCode &amp; ".T3.CTDEBT.S1314.MNAC." &amp; RefVintage</f>
        <v>HU.T3.CTDEBT.S1314.MNAC.W.2019</v>
      </c>
    </row>
    <row r="52" spans="1:50" ht="15.75" thickTop="1">
      <c r="A52" s="340" t="s">
        <v>436</v>
      </c>
      <c r="B52" s="490" t="s">
        <v>1118</v>
      </c>
      <c r="C52" s="428" t="s">
        <v>119</v>
      </c>
      <c r="D52" s="109">
        <v>44069</v>
      </c>
      <c r="E52" s="109">
        <v>102006</v>
      </c>
      <c r="F52" s="109">
        <v>143733</v>
      </c>
      <c r="G52" s="109">
        <v>82743</v>
      </c>
      <c r="H52" s="108"/>
      <c r="I52" s="52"/>
      <c r="AX52" s="658" t="str">
        <f>CountryCode &amp; ".T3.DEBT.S1314.MNAC." &amp; RefVintage</f>
        <v>HU.T3.DEBT.S1314.MNAC.W.2019</v>
      </c>
    </row>
    <row r="53" spans="1:50">
      <c r="A53" s="340" t="s">
        <v>437</v>
      </c>
      <c r="B53" s="490" t="s">
        <v>1119</v>
      </c>
      <c r="C53" s="446" t="s">
        <v>120</v>
      </c>
      <c r="D53" s="153">
        <v>14175</v>
      </c>
      <c r="E53" s="153">
        <v>28409</v>
      </c>
      <c r="F53" s="153">
        <v>23600</v>
      </c>
      <c r="G53" s="153">
        <v>23579</v>
      </c>
      <c r="H53" s="154"/>
      <c r="I53" s="52"/>
      <c r="AX53" s="658" t="str">
        <f>CountryCode &amp; ".T3.HOLD.S1314.MNAC." &amp; RefVintage</f>
        <v>HU.T3.HOLD.S1314.MNAC.W.2019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0"/>
      <c r="F64" s="700"/>
      <c r="G64" s="700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75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75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Normal="100" zoomScaleSheetLayoutView="80" workbookViewId="0">
      <selection activeCell="B18" sqref="B18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1" customWidth="1"/>
    <col min="51" max="16384" width="9.7773437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1.25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1219</v>
      </c>
    </row>
    <row r="3" spans="1:50" ht="16.5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5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.75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2015</v>
      </c>
      <c r="G6" s="354">
        <f>'Table 1'!F5</f>
        <v>2016</v>
      </c>
      <c r="H6" s="354">
        <f>'Table 1'!G5</f>
        <v>2017</v>
      </c>
      <c r="I6" s="354">
        <f>'Table 1'!H5</f>
        <v>2018</v>
      </c>
      <c r="J6" s="354">
        <f>'Table 1'!I5</f>
        <v>2019</v>
      </c>
      <c r="K6" s="608"/>
    </row>
    <row r="7" spans="1:50">
      <c r="A7" s="293"/>
      <c r="B7" s="610"/>
      <c r="C7" s="456"/>
      <c r="D7" s="286" t="str">
        <f>'Cover page'!E14</f>
        <v>Date: 29/03/2019</v>
      </c>
      <c r="E7" s="611"/>
      <c r="F7" s="612" t="s">
        <v>451</v>
      </c>
      <c r="G7" s="612" t="s">
        <v>451</v>
      </c>
      <c r="H7" s="612" t="s">
        <v>450</v>
      </c>
      <c r="I7" s="612" t="s">
        <v>449</v>
      </c>
      <c r="J7" s="613" t="s">
        <v>459</v>
      </c>
      <c r="K7" s="608"/>
    </row>
    <row r="8" spans="1:50" ht="16.5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1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HU.T4.STATUS.S13.MNAC.W.2019</v>
      </c>
    </row>
    <row r="9" spans="1:50" ht="16.5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5" thickBot="1">
      <c r="A10" s="618" t="s">
        <v>511</v>
      </c>
      <c r="B10" s="595" t="s">
        <v>1192</v>
      </c>
      <c r="C10" s="458">
        <v>2</v>
      </c>
      <c r="D10" s="619" t="s">
        <v>482</v>
      </c>
      <c r="E10" s="620"/>
      <c r="F10" s="621">
        <v>345582</v>
      </c>
      <c r="G10" s="621">
        <v>450713</v>
      </c>
      <c r="H10" s="621">
        <v>610410</v>
      </c>
      <c r="I10" s="621">
        <v>698182</v>
      </c>
      <c r="J10" s="621" t="s">
        <v>667</v>
      </c>
      <c r="K10" s="608"/>
      <c r="AX10" s="661" t="str">
        <f>CountryCode &amp; ".T4.AF81L.S13.MNAC." &amp; RefVintage</f>
        <v>HU.T4.AF81L.S13.MNAC.W.2019</v>
      </c>
    </row>
    <row r="11" spans="1:50" ht="16.5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1193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HU.T4.FPU.S13.MNAC.W.2019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5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5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1194</v>
      </c>
      <c r="C38" s="458">
        <v>10</v>
      </c>
      <c r="D38" s="619" t="s">
        <v>46</v>
      </c>
      <c r="F38" s="621">
        <v>32862766</v>
      </c>
      <c r="G38" s="621">
        <v>34609009</v>
      </c>
      <c r="H38" s="621">
        <v>36823641</v>
      </c>
      <c r="I38" s="621" t="s">
        <v>667</v>
      </c>
      <c r="J38" s="621" t="s">
        <v>667</v>
      </c>
      <c r="K38" s="608"/>
      <c r="AX38" s="661" t="str">
        <f>CountryCode &amp; ".T4.GNI.S1.MNAC." &amp; RefVintage</f>
        <v>HU.T4.GNI.S1.MNAC.W.2019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5.5">
      <c r="A41" s="293"/>
      <c r="B41" s="606"/>
      <c r="C41" s="199"/>
      <c r="D41" s="631" t="s">
        <v>69</v>
      </c>
      <c r="F41" s="632"/>
      <c r="K41" s="608"/>
    </row>
    <row r="42" spans="1:50" ht="16.5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5" thickTop="1"/>
    <row r="44" spans="1:50" ht="30" customHeight="1">
      <c r="C44" s="637" t="s">
        <v>122</v>
      </c>
      <c r="D44" s="638"/>
      <c r="E44" s="638"/>
      <c r="F44" s="701" t="str">
        <f>IF(COUNTA(F10:J10,F16:J16,F38:J38)/15*100=100,"OK - Table 4 is fully completed","WARNING - Table 4 is not fully completed, please fill in figure, L, M or 0")</f>
        <v>OK - Table 4 is fully completed</v>
      </c>
      <c r="G44" s="701"/>
      <c r="H44" s="701"/>
      <c r="I44" s="701"/>
      <c r="J44" s="702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1" customWidth="1"/>
    <col min="2" max="2" width="10.21875" style="521" bestFit="1" customWidth="1"/>
    <col min="3" max="3" width="8.44140625" style="521" bestFit="1" customWidth="1"/>
    <col min="4" max="4" width="16.33203125" style="521" bestFit="1" customWidth="1"/>
    <col min="5" max="5" width="12.109375" style="521" bestFit="1" customWidth="1"/>
    <col min="6" max="6" width="20.77734375" style="521" customWidth="1"/>
    <col min="7" max="7" width="12.33203125" style="521" bestFit="1" customWidth="1"/>
    <col min="8" max="8" width="15.77734375" style="521" bestFit="1" customWidth="1"/>
    <col min="9" max="9" width="10.33203125" style="521" bestFit="1" customWidth="1"/>
    <col min="10" max="10" width="10.44140625" style="521" bestFit="1" customWidth="1"/>
    <col min="11" max="11" width="7.88671875" style="521" bestFit="1" customWidth="1"/>
    <col min="12" max="12" width="11" style="521" customWidth="1"/>
    <col min="13" max="13" width="6.109375" style="521" bestFit="1" customWidth="1"/>
    <col min="14" max="15" width="15" style="521" bestFit="1" customWidth="1"/>
    <col min="16" max="16" width="11.88671875" style="521" bestFit="1" customWidth="1"/>
    <col min="17" max="17" width="14.109375" style="521" bestFit="1" customWidth="1"/>
    <col min="18" max="18" width="17.44140625" style="521" bestFit="1" customWidth="1"/>
    <col min="19" max="23" width="8.109375" style="521" customWidth="1"/>
    <col min="24" max="25" width="20.77734375" style="521" customWidth="1"/>
    <col min="26" max="26" width="7.6640625" style="521" bestFit="1" customWidth="1"/>
    <col min="27" max="27" width="8.44140625" style="521" bestFit="1" customWidth="1"/>
    <col min="28" max="28" width="5.88671875" style="521" bestFit="1" customWidth="1"/>
    <col min="29" max="52" width="20.77734375" style="521" customWidth="1"/>
    <col min="53" max="16384" width="8.88671875" style="521"/>
  </cols>
  <sheetData>
    <row r="1" spans="1:52" ht="16.5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03" t="s">
        <v>560</v>
      </c>
      <c r="C2" s="704"/>
      <c r="D2" s="705"/>
      <c r="E2" s="523" t="s">
        <v>561</v>
      </c>
      <c r="F2" s="706">
        <v>6</v>
      </c>
      <c r="G2" s="707"/>
      <c r="H2" s="708"/>
      <c r="I2" s="709" t="s">
        <v>562</v>
      </c>
      <c r="J2" s="710"/>
      <c r="K2" s="710"/>
      <c r="L2" s="715" t="s">
        <v>563</v>
      </c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6"/>
    </row>
    <row r="3" spans="1:52">
      <c r="A3" s="524" t="s">
        <v>564</v>
      </c>
      <c r="B3" s="717" t="s">
        <v>565</v>
      </c>
      <c r="C3" s="718"/>
      <c r="D3" s="719"/>
      <c r="E3" s="525" t="s">
        <v>566</v>
      </c>
      <c r="F3" s="720" t="s">
        <v>567</v>
      </c>
      <c r="G3" s="721"/>
      <c r="H3" s="722"/>
      <c r="I3" s="711"/>
      <c r="J3" s="712"/>
      <c r="K3" s="712"/>
      <c r="L3" s="723" t="s">
        <v>568</v>
      </c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4"/>
    </row>
    <row r="4" spans="1:52">
      <c r="A4" s="524" t="s">
        <v>569</v>
      </c>
      <c r="B4" s="725" t="s">
        <v>570</v>
      </c>
      <c r="C4" s="726"/>
      <c r="D4" s="727"/>
      <c r="E4" s="525"/>
      <c r="F4" s="728"/>
      <c r="G4" s="729"/>
      <c r="H4" s="730"/>
      <c r="I4" s="711"/>
      <c r="J4" s="712"/>
      <c r="K4" s="712"/>
      <c r="L4" s="723" t="s">
        <v>571</v>
      </c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4"/>
    </row>
    <row r="5" spans="1:52" ht="15.75" thickBot="1">
      <c r="A5" s="524" t="s">
        <v>572</v>
      </c>
      <c r="B5" s="731" t="s">
        <v>573</v>
      </c>
      <c r="C5" s="732"/>
      <c r="D5" s="733"/>
      <c r="E5" s="526" t="s">
        <v>574</v>
      </c>
      <c r="F5" s="734"/>
      <c r="G5" s="735"/>
      <c r="H5" s="736"/>
      <c r="I5" s="711"/>
      <c r="J5" s="712"/>
      <c r="K5" s="712"/>
      <c r="L5" s="737" t="s">
        <v>575</v>
      </c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8"/>
    </row>
    <row r="6" spans="1:52">
      <c r="A6" s="524" t="s">
        <v>576</v>
      </c>
      <c r="B6" s="739" t="s">
        <v>577</v>
      </c>
      <c r="C6" s="740"/>
      <c r="D6" s="741"/>
      <c r="E6" s="527"/>
      <c r="F6" s="742" t="s">
        <v>578</v>
      </c>
      <c r="G6" s="743"/>
      <c r="H6" s="744"/>
      <c r="I6" s="711"/>
      <c r="J6" s="712"/>
      <c r="K6" s="712"/>
      <c r="L6" s="737" t="s">
        <v>579</v>
      </c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7"/>
      <c r="AP6" s="737"/>
      <c r="AQ6" s="737"/>
      <c r="AR6" s="737"/>
      <c r="AS6" s="737"/>
      <c r="AT6" s="737"/>
      <c r="AU6" s="737"/>
      <c r="AV6" s="737"/>
      <c r="AW6" s="737"/>
      <c r="AX6" s="737"/>
      <c r="AY6" s="737"/>
      <c r="AZ6" s="738"/>
    </row>
    <row r="7" spans="1:52" ht="15.75" thickBot="1">
      <c r="A7" s="524" t="s">
        <v>580</v>
      </c>
      <c r="B7" s="739" t="s">
        <v>581</v>
      </c>
      <c r="C7" s="740"/>
      <c r="D7" s="741"/>
      <c r="E7" s="528"/>
      <c r="F7" s="745"/>
      <c r="G7" s="746"/>
      <c r="H7" s="747"/>
      <c r="I7" s="711"/>
      <c r="J7" s="712"/>
      <c r="K7" s="712"/>
      <c r="L7" s="737" t="s">
        <v>582</v>
      </c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7"/>
      <c r="AY7" s="737"/>
      <c r="AZ7" s="738"/>
    </row>
    <row r="8" spans="1:52">
      <c r="A8" s="528" t="s">
        <v>583</v>
      </c>
      <c r="B8" s="748"/>
      <c r="C8" s="749"/>
      <c r="D8" s="750"/>
      <c r="E8" s="529"/>
      <c r="F8" s="751"/>
      <c r="G8" s="752"/>
      <c r="H8" s="753"/>
      <c r="I8" s="711"/>
      <c r="J8" s="712"/>
      <c r="K8" s="712"/>
      <c r="L8" s="723" t="s">
        <v>568</v>
      </c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4"/>
    </row>
    <row r="9" spans="1:52">
      <c r="A9" s="528" t="s">
        <v>584</v>
      </c>
      <c r="B9" s="720" t="s">
        <v>585</v>
      </c>
      <c r="C9" s="721"/>
      <c r="D9" s="722"/>
      <c r="E9" s="529"/>
      <c r="F9" s="751"/>
      <c r="G9" s="752"/>
      <c r="H9" s="753"/>
      <c r="I9" s="711"/>
      <c r="J9" s="712"/>
      <c r="K9" s="712"/>
      <c r="L9" s="737" t="s">
        <v>586</v>
      </c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7"/>
      <c r="AM9" s="737"/>
      <c r="AN9" s="737"/>
      <c r="AO9" s="737"/>
      <c r="AP9" s="737"/>
      <c r="AQ9" s="737"/>
      <c r="AR9" s="737"/>
      <c r="AS9" s="737"/>
      <c r="AT9" s="737"/>
      <c r="AU9" s="737"/>
      <c r="AV9" s="737"/>
      <c r="AW9" s="737"/>
      <c r="AX9" s="737"/>
      <c r="AY9" s="737"/>
      <c r="AZ9" s="738"/>
    </row>
    <row r="10" spans="1:52" ht="15.75" thickBot="1">
      <c r="A10" s="530" t="s">
        <v>587</v>
      </c>
      <c r="B10" s="754"/>
      <c r="C10" s="755"/>
      <c r="D10" s="756"/>
      <c r="E10" s="531"/>
      <c r="F10" s="757"/>
      <c r="G10" s="758"/>
      <c r="H10" s="759"/>
      <c r="I10" s="711"/>
      <c r="J10" s="712"/>
      <c r="K10" s="712"/>
      <c r="L10" s="723" t="s">
        <v>588</v>
      </c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4"/>
    </row>
    <row r="11" spans="1:52">
      <c r="A11" s="524" t="s">
        <v>589</v>
      </c>
      <c r="B11" s="720" t="s">
        <v>590</v>
      </c>
      <c r="C11" s="721"/>
      <c r="D11" s="722"/>
      <c r="E11" s="524" t="s">
        <v>591</v>
      </c>
      <c r="F11" s="731">
        <v>1</v>
      </c>
      <c r="G11" s="732"/>
      <c r="H11" s="733"/>
      <c r="I11" s="711"/>
      <c r="J11" s="712"/>
      <c r="K11" s="712"/>
      <c r="L11" s="723"/>
      <c r="M11" s="723"/>
      <c r="N11" s="723"/>
      <c r="O11" s="723"/>
      <c r="P11" s="723"/>
      <c r="Q11" s="723"/>
      <c r="R11" s="723"/>
      <c r="S11" s="723"/>
      <c r="T11" s="723"/>
      <c r="U11" s="723"/>
      <c r="V11" s="723"/>
      <c r="W11" s="723"/>
      <c r="X11" s="723"/>
      <c r="Y11" s="723"/>
      <c r="Z11" s="723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4"/>
    </row>
    <row r="12" spans="1:52">
      <c r="A12" s="524" t="s">
        <v>592</v>
      </c>
      <c r="B12" s="720" t="s">
        <v>593</v>
      </c>
      <c r="C12" s="721"/>
      <c r="D12" s="722"/>
      <c r="E12" s="524"/>
      <c r="F12" s="760"/>
      <c r="G12" s="761"/>
      <c r="H12" s="762"/>
      <c r="I12" s="711"/>
      <c r="J12" s="712"/>
      <c r="K12" s="712"/>
      <c r="L12" s="723"/>
      <c r="M12" s="723"/>
      <c r="N12" s="723"/>
      <c r="O12" s="723"/>
      <c r="P12" s="723"/>
      <c r="Q12" s="723"/>
      <c r="R12" s="723"/>
      <c r="S12" s="723"/>
      <c r="T12" s="723"/>
      <c r="U12" s="723"/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4"/>
    </row>
    <row r="13" spans="1:52">
      <c r="A13" s="524" t="s">
        <v>594</v>
      </c>
      <c r="B13" s="720" t="s">
        <v>595</v>
      </c>
      <c r="C13" s="721"/>
      <c r="D13" s="722"/>
      <c r="E13" s="524"/>
      <c r="F13" s="760"/>
      <c r="G13" s="761"/>
      <c r="H13" s="762"/>
      <c r="I13" s="711"/>
      <c r="J13" s="712"/>
      <c r="K13" s="712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4"/>
    </row>
    <row r="14" spans="1:52">
      <c r="A14" s="524" t="s">
        <v>596</v>
      </c>
      <c r="B14" s="720" t="s">
        <v>597</v>
      </c>
      <c r="C14" s="721"/>
      <c r="D14" s="722"/>
      <c r="E14" s="524"/>
      <c r="F14" s="760"/>
      <c r="G14" s="761"/>
      <c r="H14" s="762"/>
      <c r="I14" s="711"/>
      <c r="J14" s="712"/>
      <c r="K14" s="712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4"/>
    </row>
    <row r="15" spans="1:52">
      <c r="A15" s="524" t="s">
        <v>598</v>
      </c>
      <c r="B15" s="720" t="s">
        <v>599</v>
      </c>
      <c r="C15" s="721"/>
      <c r="D15" s="722"/>
      <c r="E15" s="524"/>
      <c r="F15" s="760"/>
      <c r="G15" s="761"/>
      <c r="H15" s="762"/>
      <c r="I15" s="711"/>
      <c r="J15" s="712"/>
      <c r="K15" s="712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4"/>
    </row>
    <row r="16" spans="1:52">
      <c r="A16" s="524" t="s">
        <v>600</v>
      </c>
      <c r="B16" s="720" t="s">
        <v>601</v>
      </c>
      <c r="C16" s="721"/>
      <c r="D16" s="722"/>
      <c r="E16" s="524"/>
      <c r="F16" s="760"/>
      <c r="G16" s="761"/>
      <c r="H16" s="762"/>
      <c r="I16" s="711"/>
      <c r="J16" s="712"/>
      <c r="K16" s="712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4"/>
    </row>
    <row r="17" spans="1:52" ht="15.75" thickBot="1">
      <c r="A17" s="524" t="s">
        <v>602</v>
      </c>
      <c r="B17" s="720" t="s">
        <v>603</v>
      </c>
      <c r="C17" s="721"/>
      <c r="D17" s="722"/>
      <c r="E17" s="526"/>
      <c r="F17" s="763"/>
      <c r="G17" s="764"/>
      <c r="H17" s="765"/>
      <c r="I17" s="711"/>
      <c r="J17" s="712"/>
      <c r="K17" s="712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4"/>
    </row>
    <row r="18" spans="1:52">
      <c r="A18" s="524" t="s">
        <v>604</v>
      </c>
      <c r="B18" s="720" t="s">
        <v>605</v>
      </c>
      <c r="C18" s="721"/>
      <c r="D18" s="722"/>
      <c r="E18" s="532" t="s">
        <v>606</v>
      </c>
      <c r="F18" s="742"/>
      <c r="G18" s="743"/>
      <c r="H18" s="744"/>
      <c r="I18" s="711"/>
      <c r="J18" s="712"/>
      <c r="K18" s="712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4"/>
    </row>
    <row r="19" spans="1:52" ht="15.75" thickBot="1">
      <c r="A19" s="524" t="s">
        <v>607</v>
      </c>
      <c r="B19" s="766"/>
      <c r="C19" s="767"/>
      <c r="D19" s="768"/>
      <c r="E19" s="533"/>
      <c r="F19" s="760"/>
      <c r="G19" s="761"/>
      <c r="H19" s="762"/>
      <c r="I19" s="713"/>
      <c r="J19" s="714"/>
      <c r="K19" s="714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69"/>
      <c r="AJ19" s="769"/>
      <c r="AK19" s="769"/>
      <c r="AL19" s="769"/>
      <c r="AM19" s="769"/>
      <c r="AN19" s="769"/>
      <c r="AO19" s="769"/>
      <c r="AP19" s="769"/>
      <c r="AQ19" s="769"/>
      <c r="AR19" s="769"/>
      <c r="AS19" s="769"/>
      <c r="AT19" s="769"/>
      <c r="AU19" s="769"/>
      <c r="AV19" s="769"/>
      <c r="AW19" s="769"/>
      <c r="AX19" s="769"/>
      <c r="AY19" s="769"/>
      <c r="AZ19" s="770"/>
    </row>
    <row r="20" spans="1:52">
      <c r="A20" s="524" t="s">
        <v>608</v>
      </c>
      <c r="B20" s="766"/>
      <c r="C20" s="767"/>
      <c r="D20" s="768"/>
      <c r="E20" s="533"/>
      <c r="F20" s="760"/>
      <c r="G20" s="761"/>
      <c r="H20" s="762"/>
      <c r="I20" s="771"/>
      <c r="J20" s="772"/>
      <c r="K20" s="772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4"/>
    </row>
    <row r="21" spans="1:52" ht="15.75" thickBot="1">
      <c r="A21" s="524" t="s">
        <v>609</v>
      </c>
      <c r="B21" s="766"/>
      <c r="C21" s="767"/>
      <c r="D21" s="768"/>
      <c r="E21" s="533"/>
      <c r="F21" s="760"/>
      <c r="G21" s="761"/>
      <c r="H21" s="762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66"/>
      <c r="C22" s="767"/>
      <c r="D22" s="768"/>
      <c r="E22" s="533" t="s">
        <v>613</v>
      </c>
      <c r="F22" s="745"/>
      <c r="G22" s="746"/>
      <c r="H22" s="747"/>
      <c r="I22" s="540" t="s">
        <v>614</v>
      </c>
      <c r="J22" s="541"/>
      <c r="K22" s="542"/>
      <c r="L22" s="543"/>
      <c r="M22" s="541"/>
      <c r="N22" s="776"/>
      <c r="O22" s="776"/>
      <c r="P22" s="776"/>
      <c r="Q22" s="776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75" thickBot="1">
      <c r="A23" s="525" t="s">
        <v>616</v>
      </c>
      <c r="B23" s="766"/>
      <c r="C23" s="767"/>
      <c r="D23" s="768"/>
      <c r="E23" s="548" t="s">
        <v>617</v>
      </c>
      <c r="F23" s="734"/>
      <c r="G23" s="735"/>
      <c r="H23" s="736"/>
      <c r="I23" s="549" t="s">
        <v>618</v>
      </c>
      <c r="J23" s="550"/>
      <c r="K23" s="551"/>
      <c r="L23" s="552"/>
      <c r="M23" s="550"/>
      <c r="N23" s="777"/>
      <c r="O23" s="777"/>
      <c r="P23" s="777"/>
      <c r="Q23" s="777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20" t="s">
        <v>621</v>
      </c>
      <c r="C24" s="721"/>
      <c r="D24" s="722"/>
      <c r="E24" s="532" t="s">
        <v>622</v>
      </c>
      <c r="F24" s="742"/>
      <c r="G24" s="743"/>
      <c r="H24" s="744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20" t="s">
        <v>625</v>
      </c>
      <c r="C25" s="721"/>
      <c r="D25" s="722"/>
      <c r="E25" s="533"/>
      <c r="F25" s="745"/>
      <c r="G25" s="746"/>
      <c r="H25" s="747"/>
      <c r="I25" s="557"/>
      <c r="J25" s="558"/>
      <c r="K25" s="559"/>
      <c r="L25" s="773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74"/>
      <c r="AF25" s="774"/>
      <c r="AG25" s="774"/>
      <c r="AH25" s="774"/>
      <c r="AI25" s="774"/>
      <c r="AJ25" s="774"/>
      <c r="AK25" s="774"/>
      <c r="AL25" s="774"/>
      <c r="AM25" s="774"/>
      <c r="AN25" s="774"/>
      <c r="AO25" s="774"/>
      <c r="AP25" s="774"/>
      <c r="AQ25" s="774"/>
      <c r="AR25" s="774"/>
      <c r="AS25" s="774"/>
      <c r="AT25" s="774"/>
      <c r="AU25" s="774"/>
      <c r="AV25" s="774"/>
      <c r="AW25" s="774"/>
      <c r="AX25" s="774"/>
      <c r="AY25" s="774"/>
      <c r="AZ25" s="775"/>
    </row>
    <row r="26" spans="1:52">
      <c r="A26" s="525" t="s">
        <v>587</v>
      </c>
      <c r="B26" s="720" t="s">
        <v>626</v>
      </c>
      <c r="C26" s="721"/>
      <c r="D26" s="722"/>
      <c r="E26" s="533" t="s">
        <v>627</v>
      </c>
      <c r="F26" s="745"/>
      <c r="G26" s="746"/>
      <c r="H26" s="747"/>
      <c r="I26" s="557"/>
      <c r="J26" s="558"/>
      <c r="K26" s="559"/>
      <c r="L26" s="773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74"/>
      <c r="AF26" s="774"/>
      <c r="AG26" s="774"/>
      <c r="AH26" s="774"/>
      <c r="AI26" s="774"/>
      <c r="AJ26" s="774"/>
      <c r="AK26" s="774"/>
      <c r="AL26" s="774"/>
      <c r="AM26" s="774"/>
      <c r="AN26" s="774"/>
      <c r="AO26" s="774"/>
      <c r="AP26" s="774"/>
      <c r="AQ26" s="774"/>
      <c r="AR26" s="774"/>
      <c r="AS26" s="774"/>
      <c r="AT26" s="774"/>
      <c r="AU26" s="774"/>
      <c r="AV26" s="774"/>
      <c r="AW26" s="774"/>
      <c r="AX26" s="774"/>
      <c r="AY26" s="774"/>
      <c r="AZ26" s="775"/>
    </row>
    <row r="27" spans="1:52" ht="15.75" thickBot="1">
      <c r="A27" s="526" t="s">
        <v>628</v>
      </c>
      <c r="B27" s="720" t="s">
        <v>629</v>
      </c>
      <c r="C27" s="721"/>
      <c r="D27" s="722"/>
      <c r="E27" s="533" t="s">
        <v>630</v>
      </c>
      <c r="F27" s="745"/>
      <c r="G27" s="746"/>
      <c r="H27" s="747"/>
      <c r="I27" s="557"/>
      <c r="J27" s="558"/>
      <c r="K27" s="559"/>
      <c r="L27" s="773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74"/>
      <c r="AQ27" s="774"/>
      <c r="AR27" s="774"/>
      <c r="AS27" s="774"/>
      <c r="AT27" s="774"/>
      <c r="AU27" s="774"/>
      <c r="AV27" s="774"/>
      <c r="AW27" s="774"/>
      <c r="AX27" s="774"/>
      <c r="AY27" s="774"/>
      <c r="AZ27" s="775"/>
    </row>
    <row r="28" spans="1:52">
      <c r="A28" s="563"/>
      <c r="B28" s="778"/>
      <c r="C28" s="779"/>
      <c r="D28" s="780"/>
      <c r="E28" s="533" t="s">
        <v>631</v>
      </c>
      <c r="F28" s="745"/>
      <c r="G28" s="746"/>
      <c r="H28" s="747"/>
      <c r="I28" s="557"/>
      <c r="J28" s="558"/>
      <c r="K28" s="559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5"/>
    </row>
    <row r="29" spans="1:52">
      <c r="A29" s="563"/>
      <c r="B29" s="787"/>
      <c r="C29" s="788"/>
      <c r="D29" s="789"/>
      <c r="E29" s="533" t="s">
        <v>632</v>
      </c>
      <c r="F29" s="745"/>
      <c r="G29" s="746"/>
      <c r="H29" s="747"/>
      <c r="I29" s="557"/>
      <c r="J29" s="558"/>
      <c r="K29" s="559"/>
      <c r="L29" s="773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74"/>
      <c r="AF29" s="774"/>
      <c r="AG29" s="774"/>
      <c r="AH29" s="774"/>
      <c r="AI29" s="774"/>
      <c r="AJ29" s="774"/>
      <c r="AK29" s="774"/>
      <c r="AL29" s="774"/>
      <c r="AM29" s="774"/>
      <c r="AN29" s="774"/>
      <c r="AO29" s="774"/>
      <c r="AP29" s="774"/>
      <c r="AQ29" s="774"/>
      <c r="AR29" s="774"/>
      <c r="AS29" s="774"/>
      <c r="AT29" s="774"/>
      <c r="AU29" s="774"/>
      <c r="AV29" s="774"/>
      <c r="AW29" s="774"/>
      <c r="AX29" s="774"/>
      <c r="AY29" s="774"/>
      <c r="AZ29" s="775"/>
    </row>
    <row r="30" spans="1:52">
      <c r="A30" s="563"/>
      <c r="B30" s="787"/>
      <c r="C30" s="788"/>
      <c r="D30" s="789"/>
      <c r="E30" s="533"/>
      <c r="F30" s="745"/>
      <c r="G30" s="746"/>
      <c r="H30" s="747"/>
      <c r="I30" s="557"/>
      <c r="J30" s="558"/>
      <c r="K30" s="559"/>
      <c r="L30" s="773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74"/>
      <c r="AF30" s="774"/>
      <c r="AG30" s="774"/>
      <c r="AH30" s="774"/>
      <c r="AI30" s="774"/>
      <c r="AJ30" s="774"/>
      <c r="AK30" s="774"/>
      <c r="AL30" s="774"/>
      <c r="AM30" s="774"/>
      <c r="AN30" s="774"/>
      <c r="AO30" s="774"/>
      <c r="AP30" s="774"/>
      <c r="AQ30" s="774"/>
      <c r="AR30" s="774"/>
      <c r="AS30" s="774"/>
      <c r="AT30" s="774"/>
      <c r="AU30" s="774"/>
      <c r="AV30" s="774"/>
      <c r="AW30" s="774"/>
      <c r="AX30" s="774"/>
      <c r="AY30" s="774"/>
      <c r="AZ30" s="775"/>
    </row>
    <row r="31" spans="1:52" ht="15.75" thickBot="1">
      <c r="A31" s="564"/>
      <c r="B31" s="781"/>
      <c r="C31" s="782"/>
      <c r="D31" s="783"/>
      <c r="E31" s="548" t="s">
        <v>633</v>
      </c>
      <c r="F31" s="734"/>
      <c r="G31" s="735"/>
      <c r="H31" s="736"/>
      <c r="I31" s="565"/>
      <c r="J31" s="566"/>
      <c r="K31" s="567"/>
      <c r="L31" s="784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  <c r="AD31" s="785"/>
      <c r="AE31" s="785"/>
      <c r="AF31" s="785"/>
      <c r="AG31" s="785"/>
      <c r="AH31" s="785"/>
      <c r="AI31" s="785"/>
      <c r="AJ31" s="785"/>
      <c r="AK31" s="785"/>
      <c r="AL31" s="785"/>
      <c r="AM31" s="785"/>
      <c r="AN31" s="785"/>
      <c r="AO31" s="785"/>
      <c r="AP31" s="785"/>
      <c r="AQ31" s="785"/>
      <c r="AR31" s="785"/>
      <c r="AS31" s="785"/>
      <c r="AT31" s="785"/>
      <c r="AU31" s="785"/>
      <c r="AV31" s="785"/>
      <c r="AW31" s="785"/>
      <c r="AX31" s="785"/>
      <c r="AY31" s="785"/>
      <c r="AZ31" s="786"/>
    </row>
    <row r="33" spans="1:29" ht="25.5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2015</v>
      </c>
      <c r="T33" s="568">
        <f>'Table 1'!F5</f>
        <v>2016</v>
      </c>
      <c r="U33" s="568">
        <f>'Table 1'!G5</f>
        <v>2017</v>
      </c>
      <c r="V33" s="568">
        <f>'Table 1'!H5</f>
        <v>2018</v>
      </c>
      <c r="W33" s="568">
        <f>'Table 1'!I5</f>
        <v>2019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2A'!$B$8:$H$66,'Table 2A'!N$1,0)="","",VLOOKUP($X50,'Table 2A'!$B$8:$H$66,'Table 2A'!N$1,0))</f>
        <v>#N/A</v>
      </c>
      <c r="T50" s="576" t="e">
        <f>IF(VLOOKUP($X50,'Table 2A'!$B$8:$H$66,'Table 2A'!O$1,0)="","",VLOOKUP($X50,'Table 2A'!$B$8:$H$66,'Table 2A'!O$1,0))</f>
        <v>#N/A</v>
      </c>
      <c r="U50" s="576" t="e">
        <f>IF(VLOOKUP($X50,'Table 2A'!$B$8:$H$66,'Table 2A'!P$1,0)="","",VLOOKUP($X50,'Table 2A'!$B$8:$H$66,'Table 2A'!P$1,0))</f>
        <v>#N/A</v>
      </c>
      <c r="V50" s="576" t="e">
        <f>IF(VLOOKUP($X50,'Table 2A'!$B$8:$H$66,'Table 2A'!Q$1,0)="","",VLOOKUP($X50,'Table 2A'!$B$8:$H$66,'Table 2A'!Q$1,0))</f>
        <v>#N/A</v>
      </c>
      <c r="W50" s="576" t="e">
        <f>IF(VLOOKUP($X50,'Table 2A'!$B$8:$H$66,'Table 2A'!R$1,0)="","",VLOOKUP($X50,'Table 2A'!$B$8:$H$66,'Table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2A'!$B$8:$B$66,1,0),"OK","check!!!!"),"check!!!!")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2A'!$B$8:$H$66,'Table 2A'!N$1,0)="","",VLOOKUP($X51,'Table 2A'!$B$8:$H$66,'Table 2A'!N$1,0))</f>
        <v>#N/A</v>
      </c>
      <c r="T51" s="576" t="e">
        <f>IF(VLOOKUP($X51,'Table 2A'!$B$8:$H$66,'Table 2A'!O$1,0)="","",VLOOKUP($X51,'Table 2A'!$B$8:$H$66,'Table 2A'!O$1,0))</f>
        <v>#N/A</v>
      </c>
      <c r="U51" s="576" t="e">
        <f>IF(VLOOKUP($X51,'Table 2A'!$B$8:$H$66,'Table 2A'!P$1,0)="","",VLOOKUP($X51,'Table 2A'!$B$8:$H$66,'Table 2A'!P$1,0))</f>
        <v>#N/A</v>
      </c>
      <c r="V51" s="576" t="e">
        <f>IF(VLOOKUP($X51,'Table 2A'!$B$8:$H$66,'Table 2A'!Q$1,0)="","",VLOOKUP($X51,'Table 2A'!$B$8:$H$66,'Table 2A'!Q$1,0))</f>
        <v>#N/A</v>
      </c>
      <c r="W51" s="576" t="e">
        <f>IF(VLOOKUP($X51,'Table 2A'!$B$8:$H$66,'Table 2A'!R$1,0)="","",VLOOKUP($X51,'Table 2A'!$B$8:$H$66,'Table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2A'!$B$8:$B$66,1,0),"OK","check!!!!"),"check!!!!")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2A'!$B$8:$H$66,'Table 2A'!N$1,0)="","",VLOOKUP($X52,'Table 2A'!$B$8:$H$66,'Table 2A'!N$1,0))</f>
        <v>#N/A</v>
      </c>
      <c r="T52" s="576" t="e">
        <f>IF(VLOOKUP($X52,'Table 2A'!$B$8:$H$66,'Table 2A'!O$1,0)="","",VLOOKUP($X52,'Table 2A'!$B$8:$H$66,'Table 2A'!O$1,0))</f>
        <v>#N/A</v>
      </c>
      <c r="U52" s="576" t="e">
        <f>IF(VLOOKUP($X52,'Table 2A'!$B$8:$H$66,'Table 2A'!P$1,0)="","",VLOOKUP($X52,'Table 2A'!$B$8:$H$66,'Table 2A'!P$1,0))</f>
        <v>#N/A</v>
      </c>
      <c r="V52" s="576" t="e">
        <f>IF(VLOOKUP($X52,'Table 2A'!$B$8:$H$66,'Table 2A'!Q$1,0)="","",VLOOKUP($X52,'Table 2A'!$B$8:$H$66,'Table 2A'!Q$1,0))</f>
        <v>#N/A</v>
      </c>
      <c r="W52" s="576" t="e">
        <f>IF(VLOOKUP($X52,'Table 2A'!$B$8:$H$66,'Table 2A'!R$1,0)="","",VLOOKUP($X52,'Table 2A'!$B$8:$H$66,'Table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2A'!$B$8:$B$66,1,0),"OK","check!!!!"),"check!!!!")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2A'!$B$8:$H$66,'Table 2A'!N$1,0)="","",VLOOKUP($X53,'Table 2A'!$B$8:$H$66,'Table 2A'!N$1,0))</f>
        <v>#N/A</v>
      </c>
      <c r="T53" s="576" t="e">
        <f>IF(VLOOKUP($X53,'Table 2A'!$B$8:$H$66,'Table 2A'!O$1,0)="","",VLOOKUP($X53,'Table 2A'!$B$8:$H$66,'Table 2A'!O$1,0))</f>
        <v>#N/A</v>
      </c>
      <c r="U53" s="576" t="e">
        <f>IF(VLOOKUP($X53,'Table 2A'!$B$8:$H$66,'Table 2A'!P$1,0)="","",VLOOKUP($X53,'Table 2A'!$B$8:$H$66,'Table 2A'!P$1,0))</f>
        <v>#N/A</v>
      </c>
      <c r="V53" s="576" t="e">
        <f>IF(VLOOKUP($X53,'Table 2A'!$B$8:$H$66,'Table 2A'!Q$1,0)="","",VLOOKUP($X53,'Table 2A'!$B$8:$H$66,'Table 2A'!Q$1,0))</f>
        <v>#N/A</v>
      </c>
      <c r="W53" s="576" t="e">
        <f>IF(VLOOKUP($X53,'Table 2A'!$B$8:$H$66,'Table 2A'!R$1,0)="","",VLOOKUP($X53,'Table 2A'!$B$8:$H$66,'Table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2A'!$B$8:$B$66,1,0),"OK","check!!!!"),"check!!!!")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2A'!$B$8:$H$66,'Table 2A'!N$1,0)="","",VLOOKUP($X54,'Table 2A'!$B$8:$H$66,'Table 2A'!N$1,0))</f>
        <v>#N/A</v>
      </c>
      <c r="T54" s="576" t="e">
        <f>IF(VLOOKUP($X54,'Table 2A'!$B$8:$H$66,'Table 2A'!O$1,0)="","",VLOOKUP($X54,'Table 2A'!$B$8:$H$66,'Table 2A'!O$1,0))</f>
        <v>#N/A</v>
      </c>
      <c r="U54" s="576" t="e">
        <f>IF(VLOOKUP($X54,'Table 2A'!$B$8:$H$66,'Table 2A'!P$1,0)="","",VLOOKUP($X54,'Table 2A'!$B$8:$H$66,'Table 2A'!P$1,0))</f>
        <v>#N/A</v>
      </c>
      <c r="V54" s="576" t="e">
        <f>IF(VLOOKUP($X54,'Table 2A'!$B$8:$H$66,'Table 2A'!Q$1,0)="","",VLOOKUP($X54,'Table 2A'!$B$8:$H$66,'Table 2A'!Q$1,0))</f>
        <v>#N/A</v>
      </c>
      <c r="W54" s="576" t="e">
        <f>IF(VLOOKUP($X54,'Table 2A'!$B$8:$H$66,'Table 2A'!R$1,0)="","",VLOOKUP($X54,'Table 2A'!$B$8:$H$66,'Table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2A'!$B$8:$B$66,1,0),"OK","check!!!!"),"check!!!!")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2A'!$B$8:$H$66,'Table 2A'!N$1,0)="","",VLOOKUP($X55,'Table 2A'!$B$8:$H$66,'Table 2A'!N$1,0))</f>
        <v>#N/A</v>
      </c>
      <c r="T55" s="576" t="e">
        <f>IF(VLOOKUP($X55,'Table 2A'!$B$8:$H$66,'Table 2A'!O$1,0)="","",VLOOKUP($X55,'Table 2A'!$B$8:$H$66,'Table 2A'!O$1,0))</f>
        <v>#N/A</v>
      </c>
      <c r="U55" s="576" t="e">
        <f>IF(VLOOKUP($X55,'Table 2A'!$B$8:$H$66,'Table 2A'!P$1,0)="","",VLOOKUP($X55,'Table 2A'!$B$8:$H$66,'Table 2A'!P$1,0))</f>
        <v>#N/A</v>
      </c>
      <c r="V55" s="576" t="e">
        <f>IF(VLOOKUP($X55,'Table 2A'!$B$8:$H$66,'Table 2A'!Q$1,0)="","",VLOOKUP($X55,'Table 2A'!$B$8:$H$66,'Table 2A'!Q$1,0))</f>
        <v>#N/A</v>
      </c>
      <c r="W55" s="576" t="e">
        <f>IF(VLOOKUP($X55,'Table 2A'!$B$8:$H$66,'Table 2A'!R$1,0)="","",VLOOKUP($X55,'Table 2A'!$B$8:$H$66,'Table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2A'!$B$8:$B$66,1,0),"OK","check!!!!"),"check!!!!")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2A'!$B$8:$H$66,'Table 2A'!N$1,0)="","",VLOOKUP($X56,'Table 2A'!$B$8:$H$66,'Table 2A'!N$1,0))</f>
        <v>#N/A</v>
      </c>
      <c r="T56" s="576" t="e">
        <f>IF(VLOOKUP($X56,'Table 2A'!$B$8:$H$66,'Table 2A'!O$1,0)="","",VLOOKUP($X56,'Table 2A'!$B$8:$H$66,'Table 2A'!O$1,0))</f>
        <v>#N/A</v>
      </c>
      <c r="U56" s="576" t="e">
        <f>IF(VLOOKUP($X56,'Table 2A'!$B$8:$H$66,'Table 2A'!P$1,0)="","",VLOOKUP($X56,'Table 2A'!$B$8:$H$66,'Table 2A'!P$1,0))</f>
        <v>#N/A</v>
      </c>
      <c r="V56" s="576" t="e">
        <f>IF(VLOOKUP($X56,'Table 2A'!$B$8:$H$66,'Table 2A'!Q$1,0)="","",VLOOKUP($X56,'Table 2A'!$B$8:$H$66,'Table 2A'!Q$1,0))</f>
        <v>#N/A</v>
      </c>
      <c r="W56" s="576" t="e">
        <f>IF(VLOOKUP($X56,'Table 2A'!$B$8:$H$66,'Table 2A'!R$1,0)="","",VLOOKUP($X56,'Table 2A'!$B$8:$H$66,'Table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2A'!$B$8:$B$66,1,0),"OK","check!!!!"),"check!!!!")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2A'!$B$8:$H$66,'Table 2A'!N$1,0)="","",VLOOKUP($X57,'Table 2A'!$B$8:$H$66,'Table 2A'!N$1,0))</f>
        <v>#N/A</v>
      </c>
      <c r="T57" s="576" t="e">
        <f>IF(VLOOKUP($X57,'Table 2A'!$B$8:$H$66,'Table 2A'!O$1,0)="","",VLOOKUP($X57,'Table 2A'!$B$8:$H$66,'Table 2A'!O$1,0))</f>
        <v>#N/A</v>
      </c>
      <c r="U57" s="576" t="e">
        <f>IF(VLOOKUP($X57,'Table 2A'!$B$8:$H$66,'Table 2A'!P$1,0)="","",VLOOKUP($X57,'Table 2A'!$B$8:$H$66,'Table 2A'!P$1,0))</f>
        <v>#N/A</v>
      </c>
      <c r="V57" s="576" t="e">
        <f>IF(VLOOKUP($X57,'Table 2A'!$B$8:$H$66,'Table 2A'!Q$1,0)="","",VLOOKUP($X57,'Table 2A'!$B$8:$H$66,'Table 2A'!Q$1,0))</f>
        <v>#N/A</v>
      </c>
      <c r="W57" s="576" t="e">
        <f>IF(VLOOKUP($X57,'Table 2A'!$B$8:$H$66,'Table 2A'!R$1,0)="","",VLOOKUP($X57,'Table 2A'!$B$8:$H$66,'Table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2A'!$B$8:$B$66,1,0),"OK","check!!!!"),"check!!!!")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2A'!$B$8:$H$66,'Table 2A'!N$1,0)="","",VLOOKUP($X58,'Table 2A'!$B$8:$H$66,'Table 2A'!N$1,0))</f>
        <v>#N/A</v>
      </c>
      <c r="T58" s="576" t="e">
        <f>IF(VLOOKUP($X58,'Table 2A'!$B$8:$H$66,'Table 2A'!O$1,0)="","",VLOOKUP($X58,'Table 2A'!$B$8:$H$66,'Table 2A'!O$1,0))</f>
        <v>#N/A</v>
      </c>
      <c r="U58" s="576" t="e">
        <f>IF(VLOOKUP($X58,'Table 2A'!$B$8:$H$66,'Table 2A'!P$1,0)="","",VLOOKUP($X58,'Table 2A'!$B$8:$H$66,'Table 2A'!P$1,0))</f>
        <v>#N/A</v>
      </c>
      <c r="V58" s="576" t="e">
        <f>IF(VLOOKUP($X58,'Table 2A'!$B$8:$H$66,'Table 2A'!Q$1,0)="","",VLOOKUP($X58,'Table 2A'!$B$8:$H$66,'Table 2A'!Q$1,0))</f>
        <v>#N/A</v>
      </c>
      <c r="W58" s="576" t="e">
        <f>IF(VLOOKUP($X58,'Table 2A'!$B$8:$H$66,'Table 2A'!R$1,0)="","",VLOOKUP($X58,'Table 2A'!$B$8:$H$66,'Table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2A'!$B$8:$B$66,1,0),"OK","check!!!!"),"check!!!!")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2A'!$B$8:$H$66,'Table 2A'!N$1,0)="","",VLOOKUP($X59,'Table 2A'!$B$8:$H$66,'Table 2A'!N$1,0))</f>
        <v>#N/A</v>
      </c>
      <c r="T59" s="576" t="e">
        <f>IF(VLOOKUP($X59,'Table 2A'!$B$8:$H$66,'Table 2A'!O$1,0)="","",VLOOKUP($X59,'Table 2A'!$B$8:$H$66,'Table 2A'!O$1,0))</f>
        <v>#N/A</v>
      </c>
      <c r="U59" s="576" t="e">
        <f>IF(VLOOKUP($X59,'Table 2A'!$B$8:$H$66,'Table 2A'!P$1,0)="","",VLOOKUP($X59,'Table 2A'!$B$8:$H$66,'Table 2A'!P$1,0))</f>
        <v>#N/A</v>
      </c>
      <c r="V59" s="576" t="e">
        <f>IF(VLOOKUP($X59,'Table 2A'!$B$8:$H$66,'Table 2A'!Q$1,0)="","",VLOOKUP($X59,'Table 2A'!$B$8:$H$66,'Table 2A'!Q$1,0))</f>
        <v>#N/A</v>
      </c>
      <c r="W59" s="576" t="e">
        <f>IF(VLOOKUP($X59,'Table 2A'!$B$8:$H$66,'Table 2A'!R$1,0)="","",VLOOKUP($X59,'Table 2A'!$B$8:$H$66,'Table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2A'!$B$8:$B$66,1,0),"OK","check!!!!"),"check!!!!")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2A'!$B$8:$H$66,'Table 2A'!N$1,0)="","",VLOOKUP($X60,'Table 2A'!$B$8:$H$66,'Table 2A'!N$1,0))</f>
        <v>#N/A</v>
      </c>
      <c r="T60" s="576" t="e">
        <f>IF(VLOOKUP($X60,'Table 2A'!$B$8:$H$66,'Table 2A'!O$1,0)="","",VLOOKUP($X60,'Table 2A'!$B$8:$H$66,'Table 2A'!O$1,0))</f>
        <v>#N/A</v>
      </c>
      <c r="U60" s="576" t="e">
        <f>IF(VLOOKUP($X60,'Table 2A'!$B$8:$H$66,'Table 2A'!P$1,0)="","",VLOOKUP($X60,'Table 2A'!$B$8:$H$66,'Table 2A'!P$1,0))</f>
        <v>#N/A</v>
      </c>
      <c r="V60" s="576" t="e">
        <f>IF(VLOOKUP($X60,'Table 2A'!$B$8:$H$66,'Table 2A'!Q$1,0)="","",VLOOKUP($X60,'Table 2A'!$B$8:$H$66,'Table 2A'!Q$1,0))</f>
        <v>#N/A</v>
      </c>
      <c r="W60" s="576" t="e">
        <f>IF(VLOOKUP($X60,'Table 2A'!$B$8:$H$66,'Table 2A'!R$1,0)="","",VLOOKUP($X60,'Table 2A'!$B$8:$H$66,'Table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2A'!$B$8:$B$66,1,0),"OK","check!!!!"),"check!!!!")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2A'!$B$8:$H$66,'Table 2A'!N$1,0)="","",VLOOKUP($X61,'Table 2A'!$B$8:$H$66,'Table 2A'!N$1,0))</f>
        <v>#N/A</v>
      </c>
      <c r="T61" s="576" t="e">
        <f>IF(VLOOKUP($X61,'Table 2A'!$B$8:$H$66,'Table 2A'!O$1,0)="","",VLOOKUP($X61,'Table 2A'!$B$8:$H$66,'Table 2A'!O$1,0))</f>
        <v>#N/A</v>
      </c>
      <c r="U61" s="576" t="e">
        <f>IF(VLOOKUP($X61,'Table 2A'!$B$8:$H$66,'Table 2A'!P$1,0)="","",VLOOKUP($X61,'Table 2A'!$B$8:$H$66,'Table 2A'!P$1,0))</f>
        <v>#N/A</v>
      </c>
      <c r="V61" s="576" t="e">
        <f>IF(VLOOKUP($X61,'Table 2A'!$B$8:$H$66,'Table 2A'!Q$1,0)="","",VLOOKUP($X61,'Table 2A'!$B$8:$H$66,'Table 2A'!Q$1,0))</f>
        <v>#N/A</v>
      </c>
      <c r="W61" s="576" t="e">
        <f>IF(VLOOKUP($X61,'Table 2A'!$B$8:$H$66,'Table 2A'!R$1,0)="","",VLOOKUP($X61,'Table 2A'!$B$8:$H$66,'Table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2A'!$B$8:$B$66,1,0),"OK","check!!!!"),"check!!!!")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2A'!$B$8:$H$66,'Table 2A'!N$1,0)="","",VLOOKUP($X62,'Table 2A'!$B$8:$H$66,'Table 2A'!N$1,0))</f>
        <v>#N/A</v>
      </c>
      <c r="T62" s="576" t="e">
        <f>IF(VLOOKUP($X62,'Table 2A'!$B$8:$H$66,'Table 2A'!O$1,0)="","",VLOOKUP($X62,'Table 2A'!$B$8:$H$66,'Table 2A'!O$1,0))</f>
        <v>#N/A</v>
      </c>
      <c r="U62" s="576" t="e">
        <f>IF(VLOOKUP($X62,'Table 2A'!$B$8:$H$66,'Table 2A'!P$1,0)="","",VLOOKUP($X62,'Table 2A'!$B$8:$H$66,'Table 2A'!P$1,0))</f>
        <v>#N/A</v>
      </c>
      <c r="V62" s="576" t="e">
        <f>IF(VLOOKUP($X62,'Table 2A'!$B$8:$H$66,'Table 2A'!Q$1,0)="","",VLOOKUP($X62,'Table 2A'!$B$8:$H$66,'Table 2A'!Q$1,0))</f>
        <v>#N/A</v>
      </c>
      <c r="W62" s="576" t="e">
        <f>IF(VLOOKUP($X62,'Table 2A'!$B$8:$H$66,'Table 2A'!R$1,0)="","",VLOOKUP($X62,'Table 2A'!$B$8:$H$66,'Table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2A'!$B$8:$B$66,1,0),"OK","check!!!!"),"check!!!!")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2A'!$B$8:$H$66,'Table 2A'!N$1,0)="","",VLOOKUP($X63,'Table 2A'!$B$8:$H$66,'Table 2A'!N$1,0))</f>
        <v>#N/A</v>
      </c>
      <c r="T63" s="576" t="e">
        <f>IF(VLOOKUP($X63,'Table 2A'!$B$8:$H$66,'Table 2A'!O$1,0)="","",VLOOKUP($X63,'Table 2A'!$B$8:$H$66,'Table 2A'!O$1,0))</f>
        <v>#N/A</v>
      </c>
      <c r="U63" s="576" t="e">
        <f>IF(VLOOKUP($X63,'Table 2A'!$B$8:$H$66,'Table 2A'!P$1,0)="","",VLOOKUP($X63,'Table 2A'!$B$8:$H$66,'Table 2A'!P$1,0))</f>
        <v>#N/A</v>
      </c>
      <c r="V63" s="576" t="e">
        <f>IF(VLOOKUP($X63,'Table 2A'!$B$8:$H$66,'Table 2A'!Q$1,0)="","",VLOOKUP($X63,'Table 2A'!$B$8:$H$66,'Table 2A'!Q$1,0))</f>
        <v>#N/A</v>
      </c>
      <c r="W63" s="576" t="e">
        <f>IF(VLOOKUP($X63,'Table 2A'!$B$8:$H$66,'Table 2A'!R$1,0)="","",VLOOKUP($X63,'Table 2A'!$B$8:$H$66,'Table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2A'!$B$8:$B$66,1,0),"OK","check!!!!"),"check!!!!")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2A'!$B$8:$H$66,'Table 2A'!N$1,0)="","",VLOOKUP($X64,'Table 2A'!$B$8:$H$66,'Table 2A'!N$1,0))</f>
        <v>#N/A</v>
      </c>
      <c r="T64" s="576" t="e">
        <f>IF(VLOOKUP($X64,'Table 2A'!$B$8:$H$66,'Table 2A'!O$1,0)="","",VLOOKUP($X64,'Table 2A'!$B$8:$H$66,'Table 2A'!O$1,0))</f>
        <v>#N/A</v>
      </c>
      <c r="U64" s="576" t="e">
        <f>IF(VLOOKUP($X64,'Table 2A'!$B$8:$H$66,'Table 2A'!P$1,0)="","",VLOOKUP($X64,'Table 2A'!$B$8:$H$66,'Table 2A'!P$1,0))</f>
        <v>#N/A</v>
      </c>
      <c r="V64" s="576" t="e">
        <f>IF(VLOOKUP($X64,'Table 2A'!$B$8:$H$66,'Table 2A'!Q$1,0)="","",VLOOKUP($X64,'Table 2A'!$B$8:$H$66,'Table 2A'!Q$1,0))</f>
        <v>#N/A</v>
      </c>
      <c r="W64" s="576" t="e">
        <f>IF(VLOOKUP($X64,'Table 2A'!$B$8:$H$66,'Table 2A'!R$1,0)="","",VLOOKUP($X64,'Table 2A'!$B$8:$H$66,'Table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2A'!$B$8:$B$66,1,0),"OK","check!!!!"),"check!!!!")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2A'!$B$8:$H$66,'Table 2A'!N$1,0)="","",VLOOKUP($X65,'Table 2A'!$B$8:$H$66,'Table 2A'!N$1,0))</f>
        <v>#N/A</v>
      </c>
      <c r="T65" s="576" t="e">
        <f>IF(VLOOKUP($X65,'Table 2A'!$B$8:$H$66,'Table 2A'!O$1,0)="","",VLOOKUP($X65,'Table 2A'!$B$8:$H$66,'Table 2A'!O$1,0))</f>
        <v>#N/A</v>
      </c>
      <c r="U65" s="576" t="e">
        <f>IF(VLOOKUP($X65,'Table 2A'!$B$8:$H$66,'Table 2A'!P$1,0)="","",VLOOKUP($X65,'Table 2A'!$B$8:$H$66,'Table 2A'!P$1,0))</f>
        <v>#N/A</v>
      </c>
      <c r="V65" s="576" t="e">
        <f>IF(VLOOKUP($X65,'Table 2A'!$B$8:$H$66,'Table 2A'!Q$1,0)="","",VLOOKUP($X65,'Table 2A'!$B$8:$H$66,'Table 2A'!Q$1,0))</f>
        <v>#N/A</v>
      </c>
      <c r="W65" s="576" t="e">
        <f>IF(VLOOKUP($X65,'Table 2A'!$B$8:$H$66,'Table 2A'!R$1,0)="","",VLOOKUP($X65,'Table 2A'!$B$8:$H$66,'Table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2A'!$B$8:$B$66,1,0),"OK","check!!!!"),"check!!!!")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2A'!$B$8:$H$66,'Table 2A'!N$1,0)="","",VLOOKUP($X66,'Table 2A'!$B$8:$H$66,'Table 2A'!N$1,0))</f>
        <v>#N/A</v>
      </c>
      <c r="T66" s="576" t="e">
        <f>IF(VLOOKUP($X66,'Table 2A'!$B$8:$H$66,'Table 2A'!O$1,0)="","",VLOOKUP($X66,'Table 2A'!$B$8:$H$66,'Table 2A'!O$1,0))</f>
        <v>#N/A</v>
      </c>
      <c r="U66" s="576" t="e">
        <f>IF(VLOOKUP($X66,'Table 2A'!$B$8:$H$66,'Table 2A'!P$1,0)="","",VLOOKUP($X66,'Table 2A'!$B$8:$H$66,'Table 2A'!P$1,0))</f>
        <v>#N/A</v>
      </c>
      <c r="V66" s="576" t="e">
        <f>IF(VLOOKUP($X66,'Table 2A'!$B$8:$H$66,'Table 2A'!Q$1,0)="","",VLOOKUP($X66,'Table 2A'!$B$8:$H$66,'Table 2A'!Q$1,0))</f>
        <v>#N/A</v>
      </c>
      <c r="W66" s="576" t="e">
        <f>IF(VLOOKUP($X66,'Table 2A'!$B$8:$H$66,'Table 2A'!R$1,0)="","",VLOOKUP($X66,'Table 2A'!$B$8:$H$66,'Table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2A'!$B$8:$B$66,1,0),"OK","check!!!!"),"check!!!!")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2A'!$B$8:$H$66,'Table 2A'!N$1,0)="","",VLOOKUP($X67,'Table 2A'!$B$8:$H$66,'Table 2A'!N$1,0))</f>
        <v>#N/A</v>
      </c>
      <c r="T67" s="576" t="e">
        <f>IF(VLOOKUP($X67,'Table 2A'!$B$8:$H$66,'Table 2A'!O$1,0)="","",VLOOKUP($X67,'Table 2A'!$B$8:$H$66,'Table 2A'!O$1,0))</f>
        <v>#N/A</v>
      </c>
      <c r="U67" s="576" t="e">
        <f>IF(VLOOKUP($X67,'Table 2A'!$B$8:$H$66,'Table 2A'!P$1,0)="","",VLOOKUP($X67,'Table 2A'!$B$8:$H$66,'Table 2A'!P$1,0))</f>
        <v>#N/A</v>
      </c>
      <c r="V67" s="576" t="e">
        <f>IF(VLOOKUP($X67,'Table 2A'!$B$8:$H$66,'Table 2A'!Q$1,0)="","",VLOOKUP($X67,'Table 2A'!$B$8:$H$66,'Table 2A'!Q$1,0))</f>
        <v>#N/A</v>
      </c>
      <c r="W67" s="576" t="e">
        <f>IF(VLOOKUP($X67,'Table 2A'!$B$8:$H$66,'Table 2A'!R$1,0)="","",VLOOKUP($X67,'Table 2A'!$B$8:$H$66,'Table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2A'!$B$8:$B$66,1,0),"OK","check!!!!"),"check!!!!")</f>
        <v>check!!!!</v>
      </c>
      <c r="AB67" s="577" t="str">
        <f>IF('Table 2A'!B35=X67,"ok","check!!!!")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2A'!$B$8:$H$66,'Table 2A'!N$1,0)="","",VLOOKUP($X68,'Table 2A'!$B$8:$H$66,'Table 2A'!N$1,0))</f>
        <v>#N/A</v>
      </c>
      <c r="T68" s="576" t="e">
        <f>IF(VLOOKUP($X68,'Table 2A'!$B$8:$H$66,'Table 2A'!O$1,0)="","",VLOOKUP($X68,'Table 2A'!$B$8:$H$66,'Table 2A'!O$1,0))</f>
        <v>#N/A</v>
      </c>
      <c r="U68" s="576" t="e">
        <f>IF(VLOOKUP($X68,'Table 2A'!$B$8:$H$66,'Table 2A'!P$1,0)="","",VLOOKUP($X68,'Table 2A'!$B$8:$H$66,'Table 2A'!P$1,0))</f>
        <v>#N/A</v>
      </c>
      <c r="V68" s="576" t="e">
        <f>IF(VLOOKUP($X68,'Table 2A'!$B$8:$H$66,'Table 2A'!Q$1,0)="","",VLOOKUP($X68,'Table 2A'!$B$8:$H$66,'Table 2A'!Q$1,0))</f>
        <v>#N/A</v>
      </c>
      <c r="W68" s="576" t="e">
        <f>IF(VLOOKUP($X68,'Table 2A'!$B$8:$H$66,'Table 2A'!R$1,0)="","",VLOOKUP($X68,'Table 2A'!$B$8:$H$66,'Table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2A'!$B$8:$B$66,1,0),"OK","check!!!!"),"check!!!!")</f>
        <v>check!!!!</v>
      </c>
      <c r="AB68" s="577" t="str">
        <f>IF('Table 2A'!B36=X68,"ok","check!!!!")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2A'!$B$8:$H$66,'Table 2A'!N$1,0)="","",VLOOKUP($X69,'Table 2A'!$B$8:$H$66,'Table 2A'!N$1,0))</f>
        <v>#N/A</v>
      </c>
      <c r="T69" s="576" t="e">
        <f>IF(VLOOKUP($X69,'Table 2A'!$B$8:$H$66,'Table 2A'!O$1,0)="","",VLOOKUP($X69,'Table 2A'!$B$8:$H$66,'Table 2A'!O$1,0))</f>
        <v>#N/A</v>
      </c>
      <c r="U69" s="576" t="e">
        <f>IF(VLOOKUP($X69,'Table 2A'!$B$8:$H$66,'Table 2A'!P$1,0)="","",VLOOKUP($X69,'Table 2A'!$B$8:$H$66,'Table 2A'!P$1,0))</f>
        <v>#N/A</v>
      </c>
      <c r="V69" s="576" t="e">
        <f>IF(VLOOKUP($X69,'Table 2A'!$B$8:$H$66,'Table 2A'!Q$1,0)="","",VLOOKUP($X69,'Table 2A'!$B$8:$H$66,'Table 2A'!Q$1,0))</f>
        <v>#N/A</v>
      </c>
      <c r="W69" s="576" t="e">
        <f>IF(VLOOKUP($X69,'Table 2A'!$B$8:$H$66,'Table 2A'!R$1,0)="","",VLOOKUP($X69,'Table 2A'!$B$8:$H$66,'Table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2A'!$B$8:$B$66,1,0),"OK","check!!!!"),"check!!!!")</f>
        <v>check!!!!</v>
      </c>
      <c r="AB69" s="577" t="str">
        <f>IF('Table 2A'!B37=X69,"ok","check!!!!")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2A'!$B$8:$H$66,'Table 2A'!N$1,0)="","",VLOOKUP($X70,'Table 2A'!$B$8:$H$66,'Table 2A'!N$1,0))</f>
        <v>#N/A</v>
      </c>
      <c r="T70" s="576" t="e">
        <f>IF(VLOOKUP($X70,'Table 2A'!$B$8:$H$66,'Table 2A'!O$1,0)="","",VLOOKUP($X70,'Table 2A'!$B$8:$H$66,'Table 2A'!O$1,0))</f>
        <v>#N/A</v>
      </c>
      <c r="U70" s="576" t="e">
        <f>IF(VLOOKUP($X70,'Table 2A'!$B$8:$H$66,'Table 2A'!P$1,0)="","",VLOOKUP($X70,'Table 2A'!$B$8:$H$66,'Table 2A'!P$1,0))</f>
        <v>#N/A</v>
      </c>
      <c r="V70" s="576" t="e">
        <f>IF(VLOOKUP($X70,'Table 2A'!$B$8:$H$66,'Table 2A'!Q$1,0)="","",VLOOKUP($X70,'Table 2A'!$B$8:$H$66,'Table 2A'!Q$1,0))</f>
        <v>#N/A</v>
      </c>
      <c r="W70" s="576" t="e">
        <f>IF(VLOOKUP($X70,'Table 2A'!$B$8:$H$66,'Table 2A'!R$1,0)="","",VLOOKUP($X70,'Table 2A'!$B$8:$H$66,'Table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2A'!$B$8:$B$66,1,0),"OK","check!!!!"),"check!!!!")</f>
        <v>check!!!!</v>
      </c>
      <c r="AB70" s="577" t="str">
        <f>IF('Table 2A'!B46=X70,"ok","check!!!!")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2A'!$B$8:$H$66,'Table 2A'!N$1,0)="","",VLOOKUP($X71,'Table 2A'!$B$8:$H$66,'Table 2A'!N$1,0))</f>
        <v>#N/A</v>
      </c>
      <c r="T71" s="576" t="e">
        <f>IF(VLOOKUP($X71,'Table 2A'!$B$8:$H$66,'Table 2A'!O$1,0)="","",VLOOKUP($X71,'Table 2A'!$B$8:$H$66,'Table 2A'!O$1,0))</f>
        <v>#N/A</v>
      </c>
      <c r="U71" s="576" t="e">
        <f>IF(VLOOKUP($X71,'Table 2A'!$B$8:$H$66,'Table 2A'!P$1,0)="","",VLOOKUP($X71,'Table 2A'!$B$8:$H$66,'Table 2A'!P$1,0))</f>
        <v>#N/A</v>
      </c>
      <c r="V71" s="576" t="e">
        <f>IF(VLOOKUP($X71,'Table 2A'!$B$8:$H$66,'Table 2A'!Q$1,0)="","",VLOOKUP($X71,'Table 2A'!$B$8:$H$66,'Table 2A'!Q$1,0))</f>
        <v>#N/A</v>
      </c>
      <c r="W71" s="576" t="e">
        <f>IF(VLOOKUP($X71,'Table 2A'!$B$8:$H$66,'Table 2A'!R$1,0)="","",VLOOKUP($X71,'Table 2A'!$B$8:$H$66,'Table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2A'!$B$8:$B$66,1,0),"OK","check!!!!"),"check!!!!")</f>
        <v>check!!!!</v>
      </c>
      <c r="AB71" s="577" t="str">
        <f>IF('Table 2A'!B48=X71,"ok","check!!!!")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2A'!$B$8:$H$66,'Table 2A'!N$1,0)="","",VLOOKUP($X72,'Table 2A'!$B$8:$H$66,'Table 2A'!N$1,0))</f>
        <v>#N/A</v>
      </c>
      <c r="T72" s="576" t="e">
        <f>IF(VLOOKUP($X72,'Table 2A'!$B$8:$H$66,'Table 2A'!O$1,0)="","",VLOOKUP($X72,'Table 2A'!$B$8:$H$66,'Table 2A'!O$1,0))</f>
        <v>#N/A</v>
      </c>
      <c r="U72" s="576" t="e">
        <f>IF(VLOOKUP($X72,'Table 2A'!$B$8:$H$66,'Table 2A'!P$1,0)="","",VLOOKUP($X72,'Table 2A'!$B$8:$H$66,'Table 2A'!P$1,0))</f>
        <v>#N/A</v>
      </c>
      <c r="V72" s="576" t="e">
        <f>IF(VLOOKUP($X72,'Table 2A'!$B$8:$H$66,'Table 2A'!Q$1,0)="","",VLOOKUP($X72,'Table 2A'!$B$8:$H$66,'Table 2A'!Q$1,0))</f>
        <v>#N/A</v>
      </c>
      <c r="W72" s="576" t="e">
        <f>IF(VLOOKUP($X72,'Table 2A'!$B$8:$H$66,'Table 2A'!R$1,0)="","",VLOOKUP($X72,'Table 2A'!$B$8:$H$66,'Table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2A'!$B$8:$B$66,1,0),"OK","check!!!!"),"check!!!!")</f>
        <v>check!!!!</v>
      </c>
      <c r="AB72" s="577" t="str">
        <f>IF('Table 2A'!B49=X72,"ok","check!!!!")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2A'!$B$8:$H$66,'Table 2A'!N$1,0)="","",VLOOKUP($X73,'Table 2A'!$B$8:$H$66,'Table 2A'!N$1,0))</f>
        <v>#N/A</v>
      </c>
      <c r="T73" s="576" t="e">
        <f>IF(VLOOKUP($X73,'Table 2A'!$B$8:$H$66,'Table 2A'!O$1,0)="","",VLOOKUP($X73,'Table 2A'!$B$8:$H$66,'Table 2A'!O$1,0))</f>
        <v>#N/A</v>
      </c>
      <c r="U73" s="576" t="e">
        <f>IF(VLOOKUP($X73,'Table 2A'!$B$8:$H$66,'Table 2A'!P$1,0)="","",VLOOKUP($X73,'Table 2A'!$B$8:$H$66,'Table 2A'!P$1,0))</f>
        <v>#N/A</v>
      </c>
      <c r="V73" s="576" t="e">
        <f>IF(VLOOKUP($X73,'Table 2A'!$B$8:$H$66,'Table 2A'!Q$1,0)="","",VLOOKUP($X73,'Table 2A'!$B$8:$H$66,'Table 2A'!Q$1,0))</f>
        <v>#N/A</v>
      </c>
      <c r="W73" s="576" t="e">
        <f>IF(VLOOKUP($X73,'Table 2A'!$B$8:$H$66,'Table 2A'!R$1,0)="","",VLOOKUP($X73,'Table 2A'!$B$8:$H$66,'Table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2A'!$B$8:$B$66,1,0),"OK","check!!!!"),"check!!!!")</f>
        <v>check!!!!</v>
      </c>
      <c r="AB73" s="577" t="str">
        <f>IF('Table 2A'!B50=X73,"ok","check!!!!")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2A'!$B$8:$H$66,'Table 2A'!N$1,0)="","",VLOOKUP($X74,'Table 2A'!$B$8:$H$66,'Table 2A'!N$1,0))</f>
        <v>#N/A</v>
      </c>
      <c r="T74" s="576" t="e">
        <f>IF(VLOOKUP($X74,'Table 2A'!$B$8:$H$66,'Table 2A'!O$1,0)="","",VLOOKUP($X74,'Table 2A'!$B$8:$H$66,'Table 2A'!O$1,0))</f>
        <v>#N/A</v>
      </c>
      <c r="U74" s="576" t="e">
        <f>IF(VLOOKUP($X74,'Table 2A'!$B$8:$H$66,'Table 2A'!P$1,0)="","",VLOOKUP($X74,'Table 2A'!$B$8:$H$66,'Table 2A'!P$1,0))</f>
        <v>#N/A</v>
      </c>
      <c r="V74" s="576" t="e">
        <f>IF(VLOOKUP($X74,'Table 2A'!$B$8:$H$66,'Table 2A'!Q$1,0)="","",VLOOKUP($X74,'Table 2A'!$B$8:$H$66,'Table 2A'!Q$1,0))</f>
        <v>#N/A</v>
      </c>
      <c r="W74" s="576" t="e">
        <f>IF(VLOOKUP($X74,'Table 2A'!$B$8:$H$66,'Table 2A'!R$1,0)="","",VLOOKUP($X74,'Table 2A'!$B$8:$H$66,'Table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2A'!$B$8:$B$66,1,0),"OK","check!!!!"),"check!!!!")</f>
        <v>check!!!!</v>
      </c>
      <c r="AB74" s="577" t="str">
        <f>IF('Table 2A'!B52=X74,"ok","check!!!!")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2A'!$B$8:$H$66,'Table 2A'!N$1,0)="","",VLOOKUP($X75,'Table 2A'!$B$8:$H$66,'Table 2A'!N$1,0))</f>
        <v>#N/A</v>
      </c>
      <c r="T75" s="576" t="e">
        <f>IF(VLOOKUP($X75,'Table 2A'!$B$8:$H$66,'Table 2A'!O$1,0)="","",VLOOKUP($X75,'Table 2A'!$B$8:$H$66,'Table 2A'!O$1,0))</f>
        <v>#N/A</v>
      </c>
      <c r="U75" s="576" t="e">
        <f>IF(VLOOKUP($X75,'Table 2A'!$B$8:$H$66,'Table 2A'!P$1,0)="","",VLOOKUP($X75,'Table 2A'!$B$8:$H$66,'Table 2A'!P$1,0))</f>
        <v>#N/A</v>
      </c>
      <c r="V75" s="576" t="e">
        <f>IF(VLOOKUP($X75,'Table 2A'!$B$8:$H$66,'Table 2A'!Q$1,0)="","",VLOOKUP($X75,'Table 2A'!$B$8:$H$66,'Table 2A'!Q$1,0))</f>
        <v>#N/A</v>
      </c>
      <c r="W75" s="576" t="e">
        <f>IF(VLOOKUP($X75,'Table 2A'!$B$8:$H$66,'Table 2A'!R$1,0)="","",VLOOKUP($X75,'Table 2A'!$B$8:$H$66,'Table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2A'!$B$8:$B$66,1,0),"OK","check!!!!"),"check!!!!")</f>
        <v>check!!!!</v>
      </c>
      <c r="AB75" s="577" t="str">
        <f>IF('Table 2A'!B54=X75,"ok","check!!!!")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2A'!$B$8:$H$66,'Table 2A'!N$1,0)="","",VLOOKUP($X76,'Table 2A'!$B$8:$H$66,'Table 2A'!N$1,0))</f>
        <v>#N/A</v>
      </c>
      <c r="T76" s="576" t="e">
        <f>IF(VLOOKUP($X76,'Table 2A'!$B$8:$H$66,'Table 2A'!O$1,0)="","",VLOOKUP($X76,'Table 2A'!$B$8:$H$66,'Table 2A'!O$1,0))</f>
        <v>#N/A</v>
      </c>
      <c r="U76" s="576" t="e">
        <f>IF(VLOOKUP($X76,'Table 2A'!$B$8:$H$66,'Table 2A'!P$1,0)="","",VLOOKUP($X76,'Table 2A'!$B$8:$H$66,'Table 2A'!P$1,0))</f>
        <v>#N/A</v>
      </c>
      <c r="V76" s="576" t="e">
        <f>IF(VLOOKUP($X76,'Table 2A'!$B$8:$H$66,'Table 2A'!Q$1,0)="","",VLOOKUP($X76,'Table 2A'!$B$8:$H$66,'Table 2A'!Q$1,0))</f>
        <v>#N/A</v>
      </c>
      <c r="W76" s="576" t="e">
        <f>IF(VLOOKUP($X76,'Table 2A'!$B$8:$H$66,'Table 2A'!R$1,0)="","",VLOOKUP($X76,'Table 2A'!$B$8:$H$66,'Table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2A'!$B$8:$B$66,1,0),"OK","check!!!!"),"check!!!!")</f>
        <v>check!!!!</v>
      </c>
      <c r="AB76" s="577" t="str">
        <f>IF('Table 2A'!B55=X76,"ok","check!!!!")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2A'!$B$8:$H$66,'Table 2A'!N$1,0)="","",VLOOKUP($X77,'Table 2A'!$B$8:$H$66,'Table 2A'!N$1,0))</f>
        <v>#N/A</v>
      </c>
      <c r="T77" s="576" t="e">
        <f>IF(VLOOKUP($X77,'Table 2A'!$B$8:$H$66,'Table 2A'!O$1,0)="","",VLOOKUP($X77,'Table 2A'!$B$8:$H$66,'Table 2A'!O$1,0))</f>
        <v>#N/A</v>
      </c>
      <c r="U77" s="576" t="e">
        <f>IF(VLOOKUP($X77,'Table 2A'!$B$8:$H$66,'Table 2A'!P$1,0)="","",VLOOKUP($X77,'Table 2A'!$B$8:$H$66,'Table 2A'!P$1,0))</f>
        <v>#N/A</v>
      </c>
      <c r="V77" s="576" t="e">
        <f>IF(VLOOKUP($X77,'Table 2A'!$B$8:$H$66,'Table 2A'!Q$1,0)="","",VLOOKUP($X77,'Table 2A'!$B$8:$H$66,'Table 2A'!Q$1,0))</f>
        <v>#N/A</v>
      </c>
      <c r="W77" s="576" t="e">
        <f>IF(VLOOKUP($X77,'Table 2A'!$B$8:$H$66,'Table 2A'!R$1,0)="","",VLOOKUP($X77,'Table 2A'!$B$8:$H$66,'Table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2A'!$B$8:$B$66,1,0),"OK","check!!!!"),"check!!!!")</f>
        <v>check!!!!</v>
      </c>
      <c r="AB77" s="577" t="str">
        <f>IF('Table 2A'!B56=X77,"ok","check!!!!")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2A'!$B$8:$H$66,'Table 2A'!N$1,0)="","",VLOOKUP($X78,'Table 2A'!$B$8:$H$66,'Table 2A'!N$1,0))</f>
        <v>#N/A</v>
      </c>
      <c r="T78" s="576" t="e">
        <f>IF(VLOOKUP($X78,'Table 2A'!$B$8:$H$66,'Table 2A'!O$1,0)="","",VLOOKUP($X78,'Table 2A'!$B$8:$H$66,'Table 2A'!O$1,0))</f>
        <v>#N/A</v>
      </c>
      <c r="U78" s="576" t="e">
        <f>IF(VLOOKUP($X78,'Table 2A'!$B$8:$H$66,'Table 2A'!P$1,0)="","",VLOOKUP($X78,'Table 2A'!$B$8:$H$66,'Table 2A'!P$1,0))</f>
        <v>#N/A</v>
      </c>
      <c r="V78" s="576" t="e">
        <f>IF(VLOOKUP($X78,'Table 2A'!$B$8:$H$66,'Table 2A'!Q$1,0)="","",VLOOKUP($X78,'Table 2A'!$B$8:$H$66,'Table 2A'!Q$1,0))</f>
        <v>#N/A</v>
      </c>
      <c r="W78" s="576" t="e">
        <f>IF(VLOOKUP($X78,'Table 2A'!$B$8:$H$66,'Table 2A'!R$1,0)="","",VLOOKUP($X78,'Table 2A'!$B$8:$H$66,'Table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2A'!$B$8:$B$66,1,0),"OK","check!!!!"),"check!!!!")</f>
        <v>check!!!!</v>
      </c>
      <c r="AB78" s="577" t="str">
        <f>IF('Table 2A'!B62=X78,"ok","check!!!!")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2A'!$B$8:$H$66,'Table 2A'!N$1,0)="","",VLOOKUP($X79,'Table 2A'!$B$8:$H$66,'Table 2A'!N$1,0))</f>
        <v>#N/A</v>
      </c>
      <c r="T79" s="576" t="e">
        <f>IF(VLOOKUP($X79,'Table 2A'!$B$8:$H$66,'Table 2A'!O$1,0)="","",VLOOKUP($X79,'Table 2A'!$B$8:$H$66,'Table 2A'!O$1,0))</f>
        <v>#N/A</v>
      </c>
      <c r="U79" s="576" t="e">
        <f>IF(VLOOKUP($X79,'Table 2A'!$B$8:$H$66,'Table 2A'!P$1,0)="","",VLOOKUP($X79,'Table 2A'!$B$8:$H$66,'Table 2A'!P$1,0))</f>
        <v>#N/A</v>
      </c>
      <c r="V79" s="576" t="e">
        <f>IF(VLOOKUP($X79,'Table 2A'!$B$8:$H$66,'Table 2A'!Q$1,0)="","",VLOOKUP($X79,'Table 2A'!$B$8:$H$66,'Table 2A'!Q$1,0))</f>
        <v>#N/A</v>
      </c>
      <c r="W79" s="576" t="e">
        <f>IF(VLOOKUP($X79,'Table 2A'!$B$8:$H$66,'Table 2A'!R$1,0)="","",VLOOKUP($X79,'Table 2A'!$B$8:$H$66,'Table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2A'!$B$8:$B$66,1,0),"OK","check!!!!"),"check!!!!")</f>
        <v>check!!!!</v>
      </c>
      <c r="AB79" s="577" t="str">
        <f>IF('Table 2A'!B63=X79,"ok","check!!!!")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2A'!$B$8:$H$66,'Table 2A'!N$1,0)="","",VLOOKUP($X80,'Table 2A'!$B$8:$H$66,'Table 2A'!N$1,0))</f>
        <v>#N/A</v>
      </c>
      <c r="T80" s="576" t="e">
        <f>IF(VLOOKUP($X80,'Table 2A'!$B$8:$H$66,'Table 2A'!O$1,0)="","",VLOOKUP($X80,'Table 2A'!$B$8:$H$66,'Table 2A'!O$1,0))</f>
        <v>#N/A</v>
      </c>
      <c r="U80" s="576" t="e">
        <f>IF(VLOOKUP($X80,'Table 2A'!$B$8:$H$66,'Table 2A'!P$1,0)="","",VLOOKUP($X80,'Table 2A'!$B$8:$H$66,'Table 2A'!P$1,0))</f>
        <v>#N/A</v>
      </c>
      <c r="V80" s="576" t="e">
        <f>IF(VLOOKUP($X80,'Table 2A'!$B$8:$H$66,'Table 2A'!Q$1,0)="","",VLOOKUP($X80,'Table 2A'!$B$8:$H$66,'Table 2A'!Q$1,0))</f>
        <v>#N/A</v>
      </c>
      <c r="W80" s="576" t="e">
        <f>IF(VLOOKUP($X80,'Table 2A'!$B$8:$H$66,'Table 2A'!R$1,0)="","",VLOOKUP($X80,'Table 2A'!$B$8:$H$66,'Table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2A'!$B$8:$B$66,1,0),"OK","check!!!!"),"check!!!!")</f>
        <v>check!!!!</v>
      </c>
      <c r="AB80" s="577" t="str">
        <f>IF('Table 2A'!B64=X80,"ok","check!!!!")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2A'!$B$8:$H$66,'Table 2A'!N$1,0)="","",VLOOKUP($X81,'Table 2A'!$B$8:$H$66,'Table 2A'!N$1,0))</f>
        <v>#N/A</v>
      </c>
      <c r="T81" s="576" t="e">
        <f>IF(VLOOKUP($X81,'Table 2A'!$B$8:$H$66,'Table 2A'!O$1,0)="","",VLOOKUP($X81,'Table 2A'!$B$8:$H$66,'Table 2A'!O$1,0))</f>
        <v>#N/A</v>
      </c>
      <c r="U81" s="576" t="e">
        <f>IF(VLOOKUP($X81,'Table 2A'!$B$8:$H$66,'Table 2A'!P$1,0)="","",VLOOKUP($X81,'Table 2A'!$B$8:$H$66,'Table 2A'!P$1,0))</f>
        <v>#N/A</v>
      </c>
      <c r="V81" s="576" t="e">
        <f>IF(VLOOKUP($X81,'Table 2A'!$B$8:$H$66,'Table 2A'!Q$1,0)="","",VLOOKUP($X81,'Table 2A'!$B$8:$H$66,'Table 2A'!Q$1,0))</f>
        <v>#N/A</v>
      </c>
      <c r="W81" s="576" t="e">
        <f>IF(VLOOKUP($X81,'Table 2A'!$B$8:$H$66,'Table 2A'!R$1,0)="","",VLOOKUP($X81,'Table 2A'!$B$8:$H$66,'Table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2A'!$B$8:$B$66,1,0),"OK","check!!!!"),"check!!!!")</f>
        <v>check!!!!</v>
      </c>
      <c r="AB81" s="577" t="str">
        <f>IF('Table 2A'!B66=X81,"ok","check!!!!")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2C'!$B$8:$H$45,'Table 2C'!N$1,0)="","",VLOOKUP($X110,'Table 2C'!$B$8:$H$45,'Table 2C'!N$1,0))</f>
        <v>#N/A</v>
      </c>
      <c r="T110" s="583" t="e">
        <f>IF(VLOOKUP($X110,'Table 2C'!$B$8:$H$45,'Table 2C'!O$1,0)="","",VLOOKUP($X110,'Table 2C'!$B$8:$H$45,'Table 2C'!O$1,0))</f>
        <v>#N/A</v>
      </c>
      <c r="U110" s="583" t="e">
        <f>IF(VLOOKUP($X110,'Table 2C'!$B$8:$H$45,'Table 2C'!P$1,0)="","",VLOOKUP($X110,'Table 2C'!$B$8:$H$45,'Table 2C'!P$1,0))</f>
        <v>#N/A</v>
      </c>
      <c r="V110" s="583" t="e">
        <f>IF(VLOOKUP($X110,'Table 2C'!$B$8:$H$45,'Table 2C'!Q$1,0)="","",VLOOKUP($X110,'Table 2C'!$B$8:$H$45,'Table 2C'!Q$1,0))</f>
        <v>#N/A</v>
      </c>
      <c r="W110" s="583" t="e">
        <f>IF(VLOOKUP($X110,'Table 2C'!$B$8:$H$45,'Table 2C'!R$1,0)="","",VLOOKUP($X110,'Table 2C'!$B$8:$H$45,'Table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2C'!$B$8:$B$45,1,0),"OK","check!!!!"),"check!!!!")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2C'!$B$8:$H$45,'Table 2C'!N$1,0)="","",VLOOKUP($X111,'Table 2C'!$B$8:$H$45,'Table 2C'!N$1,0))</f>
        <v>#N/A</v>
      </c>
      <c r="T111" s="583" t="e">
        <f>IF(VLOOKUP($X111,'Table 2C'!$B$8:$H$45,'Table 2C'!O$1,0)="","",VLOOKUP($X111,'Table 2C'!$B$8:$H$45,'Table 2C'!O$1,0))</f>
        <v>#N/A</v>
      </c>
      <c r="U111" s="583" t="e">
        <f>IF(VLOOKUP($X111,'Table 2C'!$B$8:$H$45,'Table 2C'!P$1,0)="","",VLOOKUP($X111,'Table 2C'!$B$8:$H$45,'Table 2C'!P$1,0))</f>
        <v>#N/A</v>
      </c>
      <c r="V111" s="583" t="e">
        <f>IF(VLOOKUP($X111,'Table 2C'!$B$8:$H$45,'Table 2C'!Q$1,0)="","",VLOOKUP($X111,'Table 2C'!$B$8:$H$45,'Table 2C'!Q$1,0))</f>
        <v>#N/A</v>
      </c>
      <c r="W111" s="583" t="e">
        <f>IF(VLOOKUP($X111,'Table 2C'!$B$8:$H$45,'Table 2C'!R$1,0)="","",VLOOKUP($X111,'Table 2C'!$B$8:$H$45,'Table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2C'!$B$8:$B$45,1,0),"OK","check!!!!"),"check!!!!")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2C'!$B$8:$H$45,'Table 2C'!N$1,0)="","",VLOOKUP($X112,'Table 2C'!$B$8:$H$45,'Table 2C'!N$1,0))</f>
        <v>#N/A</v>
      </c>
      <c r="T112" s="583" t="e">
        <f>IF(VLOOKUP($X112,'Table 2C'!$B$8:$H$45,'Table 2C'!O$1,0)="","",VLOOKUP($X112,'Table 2C'!$B$8:$H$45,'Table 2C'!O$1,0))</f>
        <v>#N/A</v>
      </c>
      <c r="U112" s="583" t="e">
        <f>IF(VLOOKUP($X112,'Table 2C'!$B$8:$H$45,'Table 2C'!P$1,0)="","",VLOOKUP($X112,'Table 2C'!$B$8:$H$45,'Table 2C'!P$1,0))</f>
        <v>#N/A</v>
      </c>
      <c r="V112" s="583" t="e">
        <f>IF(VLOOKUP($X112,'Table 2C'!$B$8:$H$45,'Table 2C'!Q$1,0)="","",VLOOKUP($X112,'Table 2C'!$B$8:$H$45,'Table 2C'!Q$1,0))</f>
        <v>#N/A</v>
      </c>
      <c r="W112" s="583" t="e">
        <f>IF(VLOOKUP($X112,'Table 2C'!$B$8:$H$45,'Table 2C'!R$1,0)="","",VLOOKUP($X112,'Table 2C'!$B$8:$H$45,'Table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2C'!$B$8:$B$45,1,0),"OK","check!!!!"),"check!!!!")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2C'!$B$8:$H$45,'Table 2C'!N$1,0)="","",VLOOKUP($X113,'Table 2C'!$B$8:$H$45,'Table 2C'!N$1,0))</f>
        <v>#N/A</v>
      </c>
      <c r="T113" s="583" t="e">
        <f>IF(VLOOKUP($X113,'Table 2C'!$B$8:$H$45,'Table 2C'!O$1,0)="","",VLOOKUP($X113,'Table 2C'!$B$8:$H$45,'Table 2C'!O$1,0))</f>
        <v>#N/A</v>
      </c>
      <c r="U113" s="583" t="e">
        <f>IF(VLOOKUP($X113,'Table 2C'!$B$8:$H$45,'Table 2C'!P$1,0)="","",VLOOKUP($X113,'Table 2C'!$B$8:$H$45,'Table 2C'!P$1,0))</f>
        <v>#N/A</v>
      </c>
      <c r="V113" s="583" t="e">
        <f>IF(VLOOKUP($X113,'Table 2C'!$B$8:$H$45,'Table 2C'!Q$1,0)="","",VLOOKUP($X113,'Table 2C'!$B$8:$H$45,'Table 2C'!Q$1,0))</f>
        <v>#N/A</v>
      </c>
      <c r="W113" s="583" t="e">
        <f>IF(VLOOKUP($X113,'Table 2C'!$B$8:$H$45,'Table 2C'!R$1,0)="","",VLOOKUP($X113,'Table 2C'!$B$8:$H$45,'Table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2C'!$B$8:$B$45,1,0),"OK","check!!!!"),"check!!!!")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2C'!$B$8:$H$45,'Table 2C'!N$1,0)="","",VLOOKUP($X114,'Table 2C'!$B$8:$H$45,'Table 2C'!N$1,0))</f>
        <v>#N/A</v>
      </c>
      <c r="T114" s="583" t="e">
        <f>IF(VLOOKUP($X114,'Table 2C'!$B$8:$H$45,'Table 2C'!O$1,0)="","",VLOOKUP($X114,'Table 2C'!$B$8:$H$45,'Table 2C'!O$1,0))</f>
        <v>#N/A</v>
      </c>
      <c r="U114" s="583" t="e">
        <f>IF(VLOOKUP($X114,'Table 2C'!$B$8:$H$45,'Table 2C'!P$1,0)="","",VLOOKUP($X114,'Table 2C'!$B$8:$H$45,'Table 2C'!P$1,0))</f>
        <v>#N/A</v>
      </c>
      <c r="V114" s="583" t="e">
        <f>IF(VLOOKUP($X114,'Table 2C'!$B$8:$H$45,'Table 2C'!Q$1,0)="","",VLOOKUP($X114,'Table 2C'!$B$8:$H$45,'Table 2C'!Q$1,0))</f>
        <v>#N/A</v>
      </c>
      <c r="W114" s="583" t="e">
        <f>IF(VLOOKUP($X114,'Table 2C'!$B$8:$H$45,'Table 2C'!R$1,0)="","",VLOOKUP($X114,'Table 2C'!$B$8:$H$45,'Table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2C'!$B$8:$B$45,1,0),"OK","check!!!!"),"check!!!!")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2C'!$B$8:$H$45,'Table 2C'!N$1,0)="","",VLOOKUP($X115,'Table 2C'!$B$8:$H$45,'Table 2C'!N$1,0))</f>
        <v>#N/A</v>
      </c>
      <c r="T115" s="583" t="e">
        <f>IF(VLOOKUP($X115,'Table 2C'!$B$8:$H$45,'Table 2C'!O$1,0)="","",VLOOKUP($X115,'Table 2C'!$B$8:$H$45,'Table 2C'!O$1,0))</f>
        <v>#N/A</v>
      </c>
      <c r="U115" s="583" t="e">
        <f>IF(VLOOKUP($X115,'Table 2C'!$B$8:$H$45,'Table 2C'!P$1,0)="","",VLOOKUP($X115,'Table 2C'!$B$8:$H$45,'Table 2C'!P$1,0))</f>
        <v>#N/A</v>
      </c>
      <c r="V115" s="583" t="e">
        <f>IF(VLOOKUP($X115,'Table 2C'!$B$8:$H$45,'Table 2C'!Q$1,0)="","",VLOOKUP($X115,'Table 2C'!$B$8:$H$45,'Table 2C'!Q$1,0))</f>
        <v>#N/A</v>
      </c>
      <c r="W115" s="583" t="e">
        <f>IF(VLOOKUP($X115,'Table 2C'!$B$8:$H$45,'Table 2C'!R$1,0)="","",VLOOKUP($X115,'Table 2C'!$B$8:$H$45,'Table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2C'!$B$8:$B$45,1,0),"OK","check!!!!"),"check!!!!")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2C'!$B$8:$H$45,'Table 2C'!N$1,0)="","",VLOOKUP($X116,'Table 2C'!$B$8:$H$45,'Table 2C'!N$1,0))</f>
        <v>#N/A</v>
      </c>
      <c r="T116" s="583" t="e">
        <f>IF(VLOOKUP($X116,'Table 2C'!$B$8:$H$45,'Table 2C'!O$1,0)="","",VLOOKUP($X116,'Table 2C'!$B$8:$H$45,'Table 2C'!O$1,0))</f>
        <v>#N/A</v>
      </c>
      <c r="U116" s="583" t="e">
        <f>IF(VLOOKUP($X116,'Table 2C'!$B$8:$H$45,'Table 2C'!P$1,0)="","",VLOOKUP($X116,'Table 2C'!$B$8:$H$45,'Table 2C'!P$1,0))</f>
        <v>#N/A</v>
      </c>
      <c r="V116" s="583" t="e">
        <f>IF(VLOOKUP($X116,'Table 2C'!$B$8:$H$45,'Table 2C'!Q$1,0)="","",VLOOKUP($X116,'Table 2C'!$B$8:$H$45,'Table 2C'!Q$1,0))</f>
        <v>#N/A</v>
      </c>
      <c r="W116" s="583" t="e">
        <f>IF(VLOOKUP($X116,'Table 2C'!$B$8:$H$45,'Table 2C'!R$1,0)="","",VLOOKUP($X116,'Table 2C'!$B$8:$H$45,'Table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2C'!$B$8:$B$45,1,0),"OK","check!!!!"),"check!!!!")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2C'!$B$8:$H$45,'Table 2C'!N$1,0)="","",VLOOKUP($X117,'Table 2C'!$B$8:$H$45,'Table 2C'!N$1,0))</f>
        <v>#N/A</v>
      </c>
      <c r="T117" s="583" t="e">
        <f>IF(VLOOKUP($X117,'Table 2C'!$B$8:$H$45,'Table 2C'!O$1,0)="","",VLOOKUP($X117,'Table 2C'!$B$8:$H$45,'Table 2C'!O$1,0))</f>
        <v>#N/A</v>
      </c>
      <c r="U117" s="583" t="e">
        <f>IF(VLOOKUP($X117,'Table 2C'!$B$8:$H$45,'Table 2C'!P$1,0)="","",VLOOKUP($X117,'Table 2C'!$B$8:$H$45,'Table 2C'!P$1,0))</f>
        <v>#N/A</v>
      </c>
      <c r="V117" s="583" t="e">
        <f>IF(VLOOKUP($X117,'Table 2C'!$B$8:$H$45,'Table 2C'!Q$1,0)="","",VLOOKUP($X117,'Table 2C'!$B$8:$H$45,'Table 2C'!Q$1,0))</f>
        <v>#N/A</v>
      </c>
      <c r="W117" s="583" t="e">
        <f>IF(VLOOKUP($X117,'Table 2C'!$B$8:$H$45,'Table 2C'!R$1,0)="","",VLOOKUP($X117,'Table 2C'!$B$8:$H$45,'Table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2C'!$B$8:$B$45,1,0),"OK","check!!!!"),"check!!!!")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2C'!$B$8:$H$45,'Table 2C'!N$1,0)="","",VLOOKUP($X118,'Table 2C'!$B$8:$H$45,'Table 2C'!N$1,0))</f>
        <v>#N/A</v>
      </c>
      <c r="T118" s="583" t="e">
        <f>IF(VLOOKUP($X118,'Table 2C'!$B$8:$H$45,'Table 2C'!O$1,0)="","",VLOOKUP($X118,'Table 2C'!$B$8:$H$45,'Table 2C'!O$1,0))</f>
        <v>#N/A</v>
      </c>
      <c r="U118" s="583" t="e">
        <f>IF(VLOOKUP($X118,'Table 2C'!$B$8:$H$45,'Table 2C'!P$1,0)="","",VLOOKUP($X118,'Table 2C'!$B$8:$H$45,'Table 2C'!P$1,0))</f>
        <v>#N/A</v>
      </c>
      <c r="V118" s="583" t="e">
        <f>IF(VLOOKUP($X118,'Table 2C'!$B$8:$H$45,'Table 2C'!Q$1,0)="","",VLOOKUP($X118,'Table 2C'!$B$8:$H$45,'Table 2C'!Q$1,0))</f>
        <v>#N/A</v>
      </c>
      <c r="W118" s="583" t="e">
        <f>IF(VLOOKUP($X118,'Table 2C'!$B$8:$H$45,'Table 2C'!R$1,0)="","",VLOOKUP($X118,'Table 2C'!$B$8:$H$45,'Table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2C'!$B$8:$B$45,1,0),"OK","check!!!!"),"check!!!!")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2C'!$B$8:$H$45,'Table 2C'!N$1,0)="","",VLOOKUP($X119,'Table 2C'!$B$8:$H$45,'Table 2C'!N$1,0))</f>
        <v>#N/A</v>
      </c>
      <c r="T119" s="583" t="e">
        <f>IF(VLOOKUP($X119,'Table 2C'!$B$8:$H$45,'Table 2C'!O$1,0)="","",VLOOKUP($X119,'Table 2C'!$B$8:$H$45,'Table 2C'!O$1,0))</f>
        <v>#N/A</v>
      </c>
      <c r="U119" s="583" t="e">
        <f>IF(VLOOKUP($X119,'Table 2C'!$B$8:$H$45,'Table 2C'!P$1,0)="","",VLOOKUP($X119,'Table 2C'!$B$8:$H$45,'Table 2C'!P$1,0))</f>
        <v>#N/A</v>
      </c>
      <c r="V119" s="583" t="e">
        <f>IF(VLOOKUP($X119,'Table 2C'!$B$8:$H$45,'Table 2C'!Q$1,0)="","",VLOOKUP($X119,'Table 2C'!$B$8:$H$45,'Table 2C'!Q$1,0))</f>
        <v>#N/A</v>
      </c>
      <c r="W119" s="583" t="e">
        <f>IF(VLOOKUP($X119,'Table 2C'!$B$8:$H$45,'Table 2C'!R$1,0)="","",VLOOKUP($X119,'Table 2C'!$B$8:$H$45,'Table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2C'!$B$8:$B$45,1,0),"OK","check!!!!"),"check!!!!")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2C'!$B$8:$H$45,'Table 2C'!N$1,0)="","",VLOOKUP($X120,'Table 2C'!$B$8:$H$45,'Table 2C'!N$1,0))</f>
        <v>#N/A</v>
      </c>
      <c r="T120" s="583" t="e">
        <f>IF(VLOOKUP($X120,'Table 2C'!$B$8:$H$45,'Table 2C'!O$1,0)="","",VLOOKUP($X120,'Table 2C'!$B$8:$H$45,'Table 2C'!O$1,0))</f>
        <v>#N/A</v>
      </c>
      <c r="U120" s="583" t="e">
        <f>IF(VLOOKUP($X120,'Table 2C'!$B$8:$H$45,'Table 2C'!P$1,0)="","",VLOOKUP($X120,'Table 2C'!$B$8:$H$45,'Table 2C'!P$1,0))</f>
        <v>#N/A</v>
      </c>
      <c r="V120" s="583" t="e">
        <f>IF(VLOOKUP($X120,'Table 2C'!$B$8:$H$45,'Table 2C'!Q$1,0)="","",VLOOKUP($X120,'Table 2C'!$B$8:$H$45,'Table 2C'!Q$1,0))</f>
        <v>#N/A</v>
      </c>
      <c r="W120" s="583" t="e">
        <f>IF(VLOOKUP($X120,'Table 2C'!$B$8:$H$45,'Table 2C'!R$1,0)="","",VLOOKUP($X120,'Table 2C'!$B$8:$H$45,'Table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2C'!$B$8:$B$45,1,0),"OK","check!!!!"),"check!!!!")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2C'!$B$8:$H$45,'Table 2C'!N$1,0)="","",VLOOKUP($X121,'Table 2C'!$B$8:$H$45,'Table 2C'!N$1,0))</f>
        <v>#N/A</v>
      </c>
      <c r="T121" s="583" t="e">
        <f>IF(VLOOKUP($X121,'Table 2C'!$B$8:$H$45,'Table 2C'!O$1,0)="","",VLOOKUP($X121,'Table 2C'!$B$8:$H$45,'Table 2C'!O$1,0))</f>
        <v>#N/A</v>
      </c>
      <c r="U121" s="583" t="e">
        <f>IF(VLOOKUP($X121,'Table 2C'!$B$8:$H$45,'Table 2C'!P$1,0)="","",VLOOKUP($X121,'Table 2C'!$B$8:$H$45,'Table 2C'!P$1,0))</f>
        <v>#N/A</v>
      </c>
      <c r="V121" s="583" t="e">
        <f>IF(VLOOKUP($X121,'Table 2C'!$B$8:$H$45,'Table 2C'!Q$1,0)="","",VLOOKUP($X121,'Table 2C'!$B$8:$H$45,'Table 2C'!Q$1,0))</f>
        <v>#N/A</v>
      </c>
      <c r="W121" s="583" t="e">
        <f>IF(VLOOKUP($X121,'Table 2C'!$B$8:$H$45,'Table 2C'!R$1,0)="","",VLOOKUP($X121,'Table 2C'!$B$8:$H$45,'Table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2C'!$B$8:$B$45,1,0),"OK","check!!!!"),"check!!!!")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2C'!$B$8:$H$45,'Table 2C'!N$1,0)="","",VLOOKUP($X122,'Table 2C'!$B$8:$H$45,'Table 2C'!N$1,0))</f>
        <v>#N/A</v>
      </c>
      <c r="T122" s="583" t="e">
        <f>IF(VLOOKUP($X122,'Table 2C'!$B$8:$H$45,'Table 2C'!O$1,0)="","",VLOOKUP($X122,'Table 2C'!$B$8:$H$45,'Table 2C'!O$1,0))</f>
        <v>#N/A</v>
      </c>
      <c r="U122" s="583" t="e">
        <f>IF(VLOOKUP($X122,'Table 2C'!$B$8:$H$45,'Table 2C'!P$1,0)="","",VLOOKUP($X122,'Table 2C'!$B$8:$H$45,'Table 2C'!P$1,0))</f>
        <v>#N/A</v>
      </c>
      <c r="V122" s="583" t="e">
        <f>IF(VLOOKUP($X122,'Table 2C'!$B$8:$H$45,'Table 2C'!Q$1,0)="","",VLOOKUP($X122,'Table 2C'!$B$8:$H$45,'Table 2C'!Q$1,0))</f>
        <v>#N/A</v>
      </c>
      <c r="W122" s="583" t="e">
        <f>IF(VLOOKUP($X122,'Table 2C'!$B$8:$H$45,'Table 2C'!R$1,0)="","",VLOOKUP($X122,'Table 2C'!$B$8:$H$45,'Table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2C'!$B$8:$B$45,1,0),"OK","check!!!!"),"check!!!!")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2C'!$B$8:$H$45,'Table 2C'!N$1,0)="","",VLOOKUP($X123,'Table 2C'!$B$8:$H$45,'Table 2C'!N$1,0))</f>
        <v>#N/A</v>
      </c>
      <c r="T123" s="583" t="e">
        <f>IF(VLOOKUP($X123,'Table 2C'!$B$8:$H$45,'Table 2C'!O$1,0)="","",VLOOKUP($X123,'Table 2C'!$B$8:$H$45,'Table 2C'!O$1,0))</f>
        <v>#N/A</v>
      </c>
      <c r="U123" s="583" t="e">
        <f>IF(VLOOKUP($X123,'Table 2C'!$B$8:$H$45,'Table 2C'!P$1,0)="","",VLOOKUP($X123,'Table 2C'!$B$8:$H$45,'Table 2C'!P$1,0))</f>
        <v>#N/A</v>
      </c>
      <c r="V123" s="583" t="e">
        <f>IF(VLOOKUP($X123,'Table 2C'!$B$8:$H$45,'Table 2C'!Q$1,0)="","",VLOOKUP($X123,'Table 2C'!$B$8:$H$45,'Table 2C'!Q$1,0))</f>
        <v>#N/A</v>
      </c>
      <c r="W123" s="583" t="e">
        <f>IF(VLOOKUP($X123,'Table 2C'!$B$8:$H$45,'Table 2C'!R$1,0)="","",VLOOKUP($X123,'Table 2C'!$B$8:$H$45,'Table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2C'!$B$8:$B$45,1,0),"OK","check!!!!"),"check!!!!")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2C'!$B$8:$H$45,'Table 2C'!N$1,0)="","",VLOOKUP($X124,'Table 2C'!$B$8:$H$45,'Table 2C'!N$1,0))</f>
        <v>#N/A</v>
      </c>
      <c r="T124" s="583" t="e">
        <f>IF(VLOOKUP($X124,'Table 2C'!$B$8:$H$45,'Table 2C'!O$1,0)="","",VLOOKUP($X124,'Table 2C'!$B$8:$H$45,'Table 2C'!O$1,0))</f>
        <v>#N/A</v>
      </c>
      <c r="U124" s="583" t="e">
        <f>IF(VLOOKUP($X124,'Table 2C'!$B$8:$H$45,'Table 2C'!P$1,0)="","",VLOOKUP($X124,'Table 2C'!$B$8:$H$45,'Table 2C'!P$1,0))</f>
        <v>#N/A</v>
      </c>
      <c r="V124" s="583" t="e">
        <f>IF(VLOOKUP($X124,'Table 2C'!$B$8:$H$45,'Table 2C'!Q$1,0)="","",VLOOKUP($X124,'Table 2C'!$B$8:$H$45,'Table 2C'!Q$1,0))</f>
        <v>#N/A</v>
      </c>
      <c r="W124" s="583" t="e">
        <f>IF(VLOOKUP($X124,'Table 2C'!$B$8:$H$45,'Table 2C'!R$1,0)="","",VLOOKUP($X124,'Table 2C'!$B$8:$H$45,'Table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2C'!$B$8:$B$45,1,0),"OK","check!!!!"),"check!!!!")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2C'!$B$8:$H$45,'Table 2C'!N$1,0)="","",VLOOKUP($X125,'Table 2C'!$B$8:$H$45,'Table 2C'!N$1,0))</f>
        <v>#N/A</v>
      </c>
      <c r="T125" s="583" t="e">
        <f>IF(VLOOKUP($X125,'Table 2C'!$B$8:$H$45,'Table 2C'!O$1,0)="","",VLOOKUP($X125,'Table 2C'!$B$8:$H$45,'Table 2C'!O$1,0))</f>
        <v>#N/A</v>
      </c>
      <c r="U125" s="583" t="e">
        <f>IF(VLOOKUP($X125,'Table 2C'!$B$8:$H$45,'Table 2C'!P$1,0)="","",VLOOKUP($X125,'Table 2C'!$B$8:$H$45,'Table 2C'!P$1,0))</f>
        <v>#N/A</v>
      </c>
      <c r="V125" s="583" t="e">
        <f>IF(VLOOKUP($X125,'Table 2C'!$B$8:$H$45,'Table 2C'!Q$1,0)="","",VLOOKUP($X125,'Table 2C'!$B$8:$H$45,'Table 2C'!Q$1,0))</f>
        <v>#N/A</v>
      </c>
      <c r="W125" s="583" t="e">
        <f>IF(VLOOKUP($X125,'Table 2C'!$B$8:$H$45,'Table 2C'!R$1,0)="","",VLOOKUP($X125,'Table 2C'!$B$8:$H$45,'Table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2C'!$B$8:$B$45,1,0),"OK","check!!!!"),"check!!!!")</f>
        <v>check!!!!</v>
      </c>
      <c r="AB125" s="577" t="str">
        <f>IF('Table 2C'!B29=X125,"ok","check!!!!")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2C'!$B$8:$H$45,'Table 2C'!N$1,0)="","",VLOOKUP($X126,'Table 2C'!$B$8:$H$45,'Table 2C'!N$1,0))</f>
        <v>#N/A</v>
      </c>
      <c r="T126" s="583" t="e">
        <f>IF(VLOOKUP($X126,'Table 2C'!$B$8:$H$45,'Table 2C'!O$1,0)="","",VLOOKUP($X126,'Table 2C'!$B$8:$H$45,'Table 2C'!O$1,0))</f>
        <v>#N/A</v>
      </c>
      <c r="U126" s="583" t="e">
        <f>IF(VLOOKUP($X126,'Table 2C'!$B$8:$H$45,'Table 2C'!P$1,0)="","",VLOOKUP($X126,'Table 2C'!$B$8:$H$45,'Table 2C'!P$1,0))</f>
        <v>#N/A</v>
      </c>
      <c r="V126" s="583" t="e">
        <f>IF(VLOOKUP($X126,'Table 2C'!$B$8:$H$45,'Table 2C'!Q$1,0)="","",VLOOKUP($X126,'Table 2C'!$B$8:$H$45,'Table 2C'!Q$1,0))</f>
        <v>#N/A</v>
      </c>
      <c r="W126" s="583" t="e">
        <f>IF(VLOOKUP($X126,'Table 2C'!$B$8:$H$45,'Table 2C'!R$1,0)="","",VLOOKUP($X126,'Table 2C'!$B$8:$H$45,'Table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2C'!$B$8:$B$45,1,0),"OK","check!!!!"),"check!!!!")</f>
        <v>check!!!!</v>
      </c>
      <c r="AB126" s="577" t="str">
        <f>IF('Table 2C'!B30=X126,"ok","check!!!!")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2C'!$B$8:$H$45,'Table 2C'!N$1,0)="","",VLOOKUP($X127,'Table 2C'!$B$8:$H$45,'Table 2C'!N$1,0))</f>
        <v>#N/A</v>
      </c>
      <c r="T127" s="583" t="e">
        <f>IF(VLOOKUP($X127,'Table 2C'!$B$8:$H$45,'Table 2C'!O$1,0)="","",VLOOKUP($X127,'Table 2C'!$B$8:$H$45,'Table 2C'!O$1,0))</f>
        <v>#N/A</v>
      </c>
      <c r="U127" s="583" t="e">
        <f>IF(VLOOKUP($X127,'Table 2C'!$B$8:$H$45,'Table 2C'!P$1,0)="","",VLOOKUP($X127,'Table 2C'!$B$8:$H$45,'Table 2C'!P$1,0))</f>
        <v>#N/A</v>
      </c>
      <c r="V127" s="583" t="e">
        <f>IF(VLOOKUP($X127,'Table 2C'!$B$8:$H$45,'Table 2C'!Q$1,0)="","",VLOOKUP($X127,'Table 2C'!$B$8:$H$45,'Table 2C'!Q$1,0))</f>
        <v>#N/A</v>
      </c>
      <c r="W127" s="583" t="e">
        <f>IF(VLOOKUP($X127,'Table 2C'!$B$8:$H$45,'Table 2C'!R$1,0)="","",VLOOKUP($X127,'Table 2C'!$B$8:$H$45,'Table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2C'!$B$8:$B$45,1,0),"OK","check!!!!"),"check!!!!")</f>
        <v>check!!!!</v>
      </c>
      <c r="AB127" s="577" t="str">
        <f>IF('Table 2C'!B31=X127,"ok","check!!!!")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2C'!$B$8:$H$45,'Table 2C'!N$1,0)="","",VLOOKUP($X128,'Table 2C'!$B$8:$H$45,'Table 2C'!N$1,0))</f>
        <v>#N/A</v>
      </c>
      <c r="T128" s="583" t="e">
        <f>IF(VLOOKUP($X128,'Table 2C'!$B$8:$H$45,'Table 2C'!O$1,0)="","",VLOOKUP($X128,'Table 2C'!$B$8:$H$45,'Table 2C'!O$1,0))</f>
        <v>#N/A</v>
      </c>
      <c r="U128" s="583" t="e">
        <f>IF(VLOOKUP($X128,'Table 2C'!$B$8:$H$45,'Table 2C'!P$1,0)="","",VLOOKUP($X128,'Table 2C'!$B$8:$H$45,'Table 2C'!P$1,0))</f>
        <v>#N/A</v>
      </c>
      <c r="V128" s="583" t="e">
        <f>IF(VLOOKUP($X128,'Table 2C'!$B$8:$H$45,'Table 2C'!Q$1,0)="","",VLOOKUP($X128,'Table 2C'!$B$8:$H$45,'Table 2C'!Q$1,0))</f>
        <v>#N/A</v>
      </c>
      <c r="W128" s="583" t="e">
        <f>IF(VLOOKUP($X128,'Table 2C'!$B$8:$H$45,'Table 2C'!R$1,0)="","",VLOOKUP($X128,'Table 2C'!$B$8:$H$45,'Table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2C'!$B$8:$B$45,1,0),"OK","check!!!!"),"check!!!!")</f>
        <v>check!!!!</v>
      </c>
      <c r="AB128" s="577" t="str">
        <f>IF('Table 2C'!B33=X128,"ok","check!!!!")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2C'!$B$8:$H$45,'Table 2C'!N$1,0)="","",VLOOKUP($X129,'Table 2C'!$B$8:$H$45,'Table 2C'!N$1,0))</f>
        <v>#N/A</v>
      </c>
      <c r="T129" s="583" t="e">
        <f>IF(VLOOKUP($X129,'Table 2C'!$B$8:$H$45,'Table 2C'!O$1,0)="","",VLOOKUP($X129,'Table 2C'!$B$8:$H$45,'Table 2C'!O$1,0))</f>
        <v>#N/A</v>
      </c>
      <c r="U129" s="583" t="e">
        <f>IF(VLOOKUP($X129,'Table 2C'!$B$8:$H$45,'Table 2C'!P$1,0)="","",VLOOKUP($X129,'Table 2C'!$B$8:$H$45,'Table 2C'!P$1,0))</f>
        <v>#N/A</v>
      </c>
      <c r="V129" s="583" t="e">
        <f>IF(VLOOKUP($X129,'Table 2C'!$B$8:$H$45,'Table 2C'!Q$1,0)="","",VLOOKUP($X129,'Table 2C'!$B$8:$H$45,'Table 2C'!Q$1,0))</f>
        <v>#N/A</v>
      </c>
      <c r="W129" s="583" t="e">
        <f>IF(VLOOKUP($X129,'Table 2C'!$B$8:$H$45,'Table 2C'!R$1,0)="","",VLOOKUP($X129,'Table 2C'!$B$8:$H$45,'Table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2C'!$B$8:$B$45,1,0),"OK","check!!!!"),"check!!!!")</f>
        <v>check!!!!</v>
      </c>
      <c r="AB129" s="577" t="str">
        <f>IF('Table 2C'!B35=X129,"ok","check!!!!")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2C'!$B$8:$H$45,'Table 2C'!N$1,0)="","",VLOOKUP($X130,'Table 2C'!$B$8:$H$45,'Table 2C'!N$1,0))</f>
        <v>#N/A</v>
      </c>
      <c r="T130" s="583" t="e">
        <f>IF(VLOOKUP($X130,'Table 2C'!$B$8:$H$45,'Table 2C'!O$1,0)="","",VLOOKUP($X130,'Table 2C'!$B$8:$H$45,'Table 2C'!O$1,0))</f>
        <v>#N/A</v>
      </c>
      <c r="U130" s="583" t="e">
        <f>IF(VLOOKUP($X130,'Table 2C'!$B$8:$H$45,'Table 2C'!P$1,0)="","",VLOOKUP($X130,'Table 2C'!$B$8:$H$45,'Table 2C'!P$1,0))</f>
        <v>#N/A</v>
      </c>
      <c r="V130" s="583" t="e">
        <f>IF(VLOOKUP($X130,'Table 2C'!$B$8:$H$45,'Table 2C'!Q$1,0)="","",VLOOKUP($X130,'Table 2C'!$B$8:$H$45,'Table 2C'!Q$1,0))</f>
        <v>#N/A</v>
      </c>
      <c r="W130" s="583" t="e">
        <f>IF(VLOOKUP($X130,'Table 2C'!$B$8:$H$45,'Table 2C'!R$1,0)="","",VLOOKUP($X130,'Table 2C'!$B$8:$H$45,'Table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2C'!$B$8:$B$45,1,0),"OK","check!!!!"),"check!!!!")</f>
        <v>check!!!!</v>
      </c>
      <c r="AB130" s="577" t="str">
        <f>IF('Table 2C'!B36=X130,"ok","check!!!!")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2C'!$B$8:$H$45,'Table 2C'!N$1,0)="","",VLOOKUP($X131,'Table 2C'!$B$8:$H$45,'Table 2C'!N$1,0))</f>
        <v>#N/A</v>
      </c>
      <c r="T131" s="583" t="e">
        <f>IF(VLOOKUP($X131,'Table 2C'!$B$8:$H$45,'Table 2C'!O$1,0)="","",VLOOKUP($X131,'Table 2C'!$B$8:$H$45,'Table 2C'!O$1,0))</f>
        <v>#N/A</v>
      </c>
      <c r="U131" s="583" t="e">
        <f>IF(VLOOKUP($X131,'Table 2C'!$B$8:$H$45,'Table 2C'!P$1,0)="","",VLOOKUP($X131,'Table 2C'!$B$8:$H$45,'Table 2C'!P$1,0))</f>
        <v>#N/A</v>
      </c>
      <c r="V131" s="583" t="e">
        <f>IF(VLOOKUP($X131,'Table 2C'!$B$8:$H$45,'Table 2C'!Q$1,0)="","",VLOOKUP($X131,'Table 2C'!$B$8:$H$45,'Table 2C'!Q$1,0))</f>
        <v>#N/A</v>
      </c>
      <c r="W131" s="583" t="e">
        <f>IF(VLOOKUP($X131,'Table 2C'!$B$8:$H$45,'Table 2C'!R$1,0)="","",VLOOKUP($X131,'Table 2C'!$B$8:$H$45,'Table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2C'!$B$8:$B$45,1,0),"OK","check!!!!"),"check!!!!")</f>
        <v>check!!!!</v>
      </c>
      <c r="AB131" s="577" t="str">
        <f>IF('Table 2C'!B37=X131,"ok","check!!!!")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2C'!$B$8:$H$45,'Table 2C'!N$1,0)="","",VLOOKUP($X132,'Table 2C'!$B$8:$H$45,'Table 2C'!N$1,0))</f>
        <v>#N/A</v>
      </c>
      <c r="T132" s="583" t="e">
        <f>IF(VLOOKUP($X132,'Table 2C'!$B$8:$H$45,'Table 2C'!O$1,0)="","",VLOOKUP($X132,'Table 2C'!$B$8:$H$45,'Table 2C'!O$1,0))</f>
        <v>#N/A</v>
      </c>
      <c r="U132" s="583" t="e">
        <f>IF(VLOOKUP($X132,'Table 2C'!$B$8:$H$45,'Table 2C'!P$1,0)="","",VLOOKUP($X132,'Table 2C'!$B$8:$H$45,'Table 2C'!P$1,0))</f>
        <v>#N/A</v>
      </c>
      <c r="V132" s="583" t="e">
        <f>IF(VLOOKUP($X132,'Table 2C'!$B$8:$H$45,'Table 2C'!Q$1,0)="","",VLOOKUP($X132,'Table 2C'!$B$8:$H$45,'Table 2C'!Q$1,0))</f>
        <v>#N/A</v>
      </c>
      <c r="W132" s="583" t="e">
        <f>IF(VLOOKUP($X132,'Table 2C'!$B$8:$H$45,'Table 2C'!R$1,0)="","",VLOOKUP($X132,'Table 2C'!$B$8:$H$45,'Table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2C'!$B$8:$B$45,1,0),"OK","check!!!!"),"check!!!!")</f>
        <v>check!!!!</v>
      </c>
      <c r="AB132" s="577" t="str">
        <f>IF('Table 2C'!B38=X132,"ok","check!!!!")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2C'!$B$8:$H$45,'Table 2C'!N$1,0)="","",VLOOKUP($X133,'Table 2C'!$B$8:$H$45,'Table 2C'!N$1,0))</f>
        <v>#N/A</v>
      </c>
      <c r="T133" s="583" t="e">
        <f>IF(VLOOKUP($X133,'Table 2C'!$B$8:$H$45,'Table 2C'!O$1,0)="","",VLOOKUP($X133,'Table 2C'!$B$8:$H$45,'Table 2C'!O$1,0))</f>
        <v>#N/A</v>
      </c>
      <c r="U133" s="583" t="e">
        <f>IF(VLOOKUP($X133,'Table 2C'!$B$8:$H$45,'Table 2C'!P$1,0)="","",VLOOKUP($X133,'Table 2C'!$B$8:$H$45,'Table 2C'!P$1,0))</f>
        <v>#N/A</v>
      </c>
      <c r="V133" s="583" t="e">
        <f>IF(VLOOKUP($X133,'Table 2C'!$B$8:$H$45,'Table 2C'!Q$1,0)="","",VLOOKUP($X133,'Table 2C'!$B$8:$H$45,'Table 2C'!Q$1,0))</f>
        <v>#N/A</v>
      </c>
      <c r="W133" s="583" t="e">
        <f>IF(VLOOKUP($X133,'Table 2C'!$B$8:$H$45,'Table 2C'!R$1,0)="","",VLOOKUP($X133,'Table 2C'!$B$8:$H$45,'Table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2C'!$B$8:$B$45,1,0),"OK","check!!!!"),"check!!!!")</f>
        <v>check!!!!</v>
      </c>
      <c r="AB133" s="577" t="str">
        <f>IF('Table 2C'!B40=X133,"ok","check!!!!")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2C'!$B$8:$H$45,'Table 2C'!N$1,0)="","",VLOOKUP($X134,'Table 2C'!$B$8:$H$45,'Table 2C'!N$1,0))</f>
        <v>#N/A</v>
      </c>
      <c r="T134" s="583" t="e">
        <f>IF(VLOOKUP($X134,'Table 2C'!$B$8:$H$45,'Table 2C'!O$1,0)="","",VLOOKUP($X134,'Table 2C'!$B$8:$H$45,'Table 2C'!O$1,0))</f>
        <v>#N/A</v>
      </c>
      <c r="U134" s="583" t="e">
        <f>IF(VLOOKUP($X134,'Table 2C'!$B$8:$H$45,'Table 2C'!P$1,0)="","",VLOOKUP($X134,'Table 2C'!$B$8:$H$45,'Table 2C'!P$1,0))</f>
        <v>#N/A</v>
      </c>
      <c r="V134" s="583" t="e">
        <f>IF(VLOOKUP($X134,'Table 2C'!$B$8:$H$45,'Table 2C'!Q$1,0)="","",VLOOKUP($X134,'Table 2C'!$B$8:$H$45,'Table 2C'!Q$1,0))</f>
        <v>#N/A</v>
      </c>
      <c r="W134" s="583" t="e">
        <f>IF(VLOOKUP($X134,'Table 2C'!$B$8:$H$45,'Table 2C'!R$1,0)="","",VLOOKUP($X134,'Table 2C'!$B$8:$H$45,'Table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2C'!$B$8:$B$45,1,0),"OK","check!!!!"),"check!!!!")</f>
        <v>check!!!!</v>
      </c>
      <c r="AB134" s="577" t="str">
        <f>IF('Table 2C'!B41=X134,"ok","check!!!!")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2C'!$B$8:$H$45,'Table 2C'!N$1,0)="","",VLOOKUP($X135,'Table 2C'!$B$8:$H$45,'Table 2C'!N$1,0))</f>
        <v>#N/A</v>
      </c>
      <c r="T135" s="583" t="e">
        <f>IF(VLOOKUP($X135,'Table 2C'!$B$8:$H$45,'Table 2C'!O$1,0)="","",VLOOKUP($X135,'Table 2C'!$B$8:$H$45,'Table 2C'!O$1,0))</f>
        <v>#N/A</v>
      </c>
      <c r="U135" s="583" t="e">
        <f>IF(VLOOKUP($X135,'Table 2C'!$B$8:$H$45,'Table 2C'!P$1,0)="","",VLOOKUP($X135,'Table 2C'!$B$8:$H$45,'Table 2C'!P$1,0))</f>
        <v>#N/A</v>
      </c>
      <c r="V135" s="583" t="e">
        <f>IF(VLOOKUP($X135,'Table 2C'!$B$8:$H$45,'Table 2C'!Q$1,0)="","",VLOOKUP($X135,'Table 2C'!$B$8:$H$45,'Table 2C'!Q$1,0))</f>
        <v>#N/A</v>
      </c>
      <c r="W135" s="583" t="e">
        <f>IF(VLOOKUP($X135,'Table 2C'!$B$8:$H$45,'Table 2C'!R$1,0)="","",VLOOKUP($X135,'Table 2C'!$B$8:$H$45,'Table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2C'!$B$8:$B$45,1,0),"OK","check!!!!"),"check!!!!")</f>
        <v>check!!!!</v>
      </c>
      <c r="AB135" s="577" t="str">
        <f>IF('Table 2C'!B42=X135,"ok","check!!!!")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2C'!$B$8:$H$45,'Table 2C'!N$1,0)="","",VLOOKUP($X136,'Table 2C'!$B$8:$H$45,'Table 2C'!N$1,0))</f>
        <v>#N/A</v>
      </c>
      <c r="T136" s="583" t="e">
        <f>IF(VLOOKUP($X136,'Table 2C'!$B$8:$H$45,'Table 2C'!O$1,0)="","",VLOOKUP($X136,'Table 2C'!$B$8:$H$45,'Table 2C'!O$1,0))</f>
        <v>#N/A</v>
      </c>
      <c r="U136" s="583" t="e">
        <f>IF(VLOOKUP($X136,'Table 2C'!$B$8:$H$45,'Table 2C'!P$1,0)="","",VLOOKUP($X136,'Table 2C'!$B$8:$H$45,'Table 2C'!P$1,0))</f>
        <v>#N/A</v>
      </c>
      <c r="V136" s="583" t="e">
        <f>IF(VLOOKUP($X136,'Table 2C'!$B$8:$H$45,'Table 2C'!Q$1,0)="","",VLOOKUP($X136,'Table 2C'!$B$8:$H$45,'Table 2C'!Q$1,0))</f>
        <v>#N/A</v>
      </c>
      <c r="W136" s="583" t="e">
        <f>IF(VLOOKUP($X136,'Table 2C'!$B$8:$H$45,'Table 2C'!R$1,0)="","",VLOOKUP($X136,'Table 2C'!$B$8:$H$45,'Table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2C'!$B$8:$B$45,1,0),"OK","check!!!!"),"check!!!!")</f>
        <v>check!!!!</v>
      </c>
      <c r="AB136" s="577" t="str">
        <f>IF('Table 2C'!B43=X136,"ok","check!!!!")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2C'!$B$8:$H$45,'Table 2C'!N$1,0)="","",VLOOKUP($X137,'Table 2C'!$B$8:$H$45,'Table 2C'!N$1,0))</f>
        <v>#N/A</v>
      </c>
      <c r="T137" s="583" t="e">
        <f>IF(VLOOKUP($X137,'Table 2C'!$B$8:$H$45,'Table 2C'!O$1,0)="","",VLOOKUP($X137,'Table 2C'!$B$8:$H$45,'Table 2C'!O$1,0))</f>
        <v>#N/A</v>
      </c>
      <c r="U137" s="583" t="e">
        <f>IF(VLOOKUP($X137,'Table 2C'!$B$8:$H$45,'Table 2C'!P$1,0)="","",VLOOKUP($X137,'Table 2C'!$B$8:$H$45,'Table 2C'!P$1,0))</f>
        <v>#N/A</v>
      </c>
      <c r="V137" s="583" t="e">
        <f>IF(VLOOKUP($X137,'Table 2C'!$B$8:$H$45,'Table 2C'!Q$1,0)="","",VLOOKUP($X137,'Table 2C'!$B$8:$H$45,'Table 2C'!Q$1,0))</f>
        <v>#N/A</v>
      </c>
      <c r="W137" s="583" t="e">
        <f>IF(VLOOKUP($X137,'Table 2C'!$B$8:$H$45,'Table 2C'!R$1,0)="","",VLOOKUP($X137,'Table 2C'!$B$8:$H$45,'Table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2C'!$B$8:$B$45,1,0),"OK","check!!!!"),"check!!!!")</f>
        <v>check!!!!</v>
      </c>
      <c r="AB137" s="577" t="str">
        <f>IF('Table 2C'!B45=X137,"ok","check!!!!")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password="CA3F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1" bestFit="1" customWidth="1"/>
    <col min="2" max="2" width="8.88671875" style="501" customWidth="1"/>
    <col min="3" max="3" width="16" style="501" customWidth="1"/>
    <col min="4" max="5" width="8.88671875" style="501" customWidth="1"/>
    <col min="6" max="6" width="8.6640625" style="501" bestFit="1" customWidth="1"/>
    <col min="7" max="7" width="8.88671875" style="501"/>
    <col min="8" max="8" width="22.88671875" style="501" bestFit="1" customWidth="1"/>
    <col min="9" max="256" width="8.88671875" style="501"/>
    <col min="257" max="257" width="23.109375" style="501" bestFit="1" customWidth="1"/>
    <col min="258" max="258" width="8.88671875" style="501" customWidth="1"/>
    <col min="259" max="259" width="16" style="501" customWidth="1"/>
    <col min="260" max="261" width="8.88671875" style="501" customWidth="1"/>
    <col min="262" max="262" width="8.6640625" style="501" bestFit="1" customWidth="1"/>
    <col min="263" max="512" width="8.88671875" style="501"/>
    <col min="513" max="513" width="23.109375" style="501" bestFit="1" customWidth="1"/>
    <col min="514" max="514" width="8.88671875" style="501" customWidth="1"/>
    <col min="515" max="515" width="16" style="501" customWidth="1"/>
    <col min="516" max="517" width="8.88671875" style="501" customWidth="1"/>
    <col min="518" max="518" width="8.6640625" style="501" bestFit="1" customWidth="1"/>
    <col min="519" max="768" width="8.88671875" style="501"/>
    <col min="769" max="769" width="23.109375" style="501" bestFit="1" customWidth="1"/>
    <col min="770" max="770" width="8.88671875" style="501" customWidth="1"/>
    <col min="771" max="771" width="16" style="501" customWidth="1"/>
    <col min="772" max="773" width="8.88671875" style="501" customWidth="1"/>
    <col min="774" max="774" width="8.6640625" style="501" bestFit="1" customWidth="1"/>
    <col min="775" max="1024" width="8.88671875" style="501"/>
    <col min="1025" max="1025" width="23.109375" style="501" bestFit="1" customWidth="1"/>
    <col min="1026" max="1026" width="8.88671875" style="501" customWidth="1"/>
    <col min="1027" max="1027" width="16" style="501" customWidth="1"/>
    <col min="1028" max="1029" width="8.88671875" style="501" customWidth="1"/>
    <col min="1030" max="1030" width="8.6640625" style="501" bestFit="1" customWidth="1"/>
    <col min="1031" max="1280" width="8.88671875" style="501"/>
    <col min="1281" max="1281" width="23.109375" style="501" bestFit="1" customWidth="1"/>
    <col min="1282" max="1282" width="8.88671875" style="501" customWidth="1"/>
    <col min="1283" max="1283" width="16" style="501" customWidth="1"/>
    <col min="1284" max="1285" width="8.88671875" style="501" customWidth="1"/>
    <col min="1286" max="1286" width="8.6640625" style="501" bestFit="1" customWidth="1"/>
    <col min="1287" max="1536" width="8.88671875" style="501"/>
    <col min="1537" max="1537" width="23.109375" style="501" bestFit="1" customWidth="1"/>
    <col min="1538" max="1538" width="8.88671875" style="501" customWidth="1"/>
    <col min="1539" max="1539" width="16" style="501" customWidth="1"/>
    <col min="1540" max="1541" width="8.88671875" style="501" customWidth="1"/>
    <col min="1542" max="1542" width="8.6640625" style="501" bestFit="1" customWidth="1"/>
    <col min="1543" max="1792" width="8.88671875" style="501"/>
    <col min="1793" max="1793" width="23.109375" style="501" bestFit="1" customWidth="1"/>
    <col min="1794" max="1794" width="8.88671875" style="501" customWidth="1"/>
    <col min="1795" max="1795" width="16" style="501" customWidth="1"/>
    <col min="1796" max="1797" width="8.88671875" style="501" customWidth="1"/>
    <col min="1798" max="1798" width="8.6640625" style="501" bestFit="1" customWidth="1"/>
    <col min="1799" max="2048" width="8.88671875" style="501"/>
    <col min="2049" max="2049" width="23.109375" style="501" bestFit="1" customWidth="1"/>
    <col min="2050" max="2050" width="8.88671875" style="501" customWidth="1"/>
    <col min="2051" max="2051" width="16" style="501" customWidth="1"/>
    <col min="2052" max="2053" width="8.88671875" style="501" customWidth="1"/>
    <col min="2054" max="2054" width="8.6640625" style="501" bestFit="1" customWidth="1"/>
    <col min="2055" max="2304" width="8.88671875" style="501"/>
    <col min="2305" max="2305" width="23.109375" style="501" bestFit="1" customWidth="1"/>
    <col min="2306" max="2306" width="8.88671875" style="501" customWidth="1"/>
    <col min="2307" max="2307" width="16" style="501" customWidth="1"/>
    <col min="2308" max="2309" width="8.88671875" style="501" customWidth="1"/>
    <col min="2310" max="2310" width="8.6640625" style="501" bestFit="1" customWidth="1"/>
    <col min="2311" max="2560" width="8.88671875" style="501"/>
    <col min="2561" max="2561" width="23.109375" style="501" bestFit="1" customWidth="1"/>
    <col min="2562" max="2562" width="8.88671875" style="501" customWidth="1"/>
    <col min="2563" max="2563" width="16" style="501" customWidth="1"/>
    <col min="2564" max="2565" width="8.88671875" style="501" customWidth="1"/>
    <col min="2566" max="2566" width="8.6640625" style="501" bestFit="1" customWidth="1"/>
    <col min="2567" max="2816" width="8.88671875" style="501"/>
    <col min="2817" max="2817" width="23.109375" style="501" bestFit="1" customWidth="1"/>
    <col min="2818" max="2818" width="8.88671875" style="501" customWidth="1"/>
    <col min="2819" max="2819" width="16" style="501" customWidth="1"/>
    <col min="2820" max="2821" width="8.88671875" style="501" customWidth="1"/>
    <col min="2822" max="2822" width="8.6640625" style="501" bestFit="1" customWidth="1"/>
    <col min="2823" max="3072" width="8.88671875" style="501"/>
    <col min="3073" max="3073" width="23.109375" style="501" bestFit="1" customWidth="1"/>
    <col min="3074" max="3074" width="8.88671875" style="501" customWidth="1"/>
    <col min="3075" max="3075" width="16" style="501" customWidth="1"/>
    <col min="3076" max="3077" width="8.88671875" style="501" customWidth="1"/>
    <col min="3078" max="3078" width="8.6640625" style="501" bestFit="1" customWidth="1"/>
    <col min="3079" max="3328" width="8.88671875" style="501"/>
    <col min="3329" max="3329" width="23.109375" style="501" bestFit="1" customWidth="1"/>
    <col min="3330" max="3330" width="8.88671875" style="501" customWidth="1"/>
    <col min="3331" max="3331" width="16" style="501" customWidth="1"/>
    <col min="3332" max="3333" width="8.88671875" style="501" customWidth="1"/>
    <col min="3334" max="3334" width="8.6640625" style="501" bestFit="1" customWidth="1"/>
    <col min="3335" max="3584" width="8.88671875" style="501"/>
    <col min="3585" max="3585" width="23.109375" style="501" bestFit="1" customWidth="1"/>
    <col min="3586" max="3586" width="8.88671875" style="501" customWidth="1"/>
    <col min="3587" max="3587" width="16" style="501" customWidth="1"/>
    <col min="3588" max="3589" width="8.88671875" style="501" customWidth="1"/>
    <col min="3590" max="3590" width="8.6640625" style="501" bestFit="1" customWidth="1"/>
    <col min="3591" max="3840" width="8.88671875" style="501"/>
    <col min="3841" max="3841" width="23.109375" style="501" bestFit="1" customWidth="1"/>
    <col min="3842" max="3842" width="8.88671875" style="501" customWidth="1"/>
    <col min="3843" max="3843" width="16" style="501" customWidth="1"/>
    <col min="3844" max="3845" width="8.88671875" style="501" customWidth="1"/>
    <col min="3846" max="3846" width="8.6640625" style="501" bestFit="1" customWidth="1"/>
    <col min="3847" max="4096" width="8.88671875" style="501"/>
    <col min="4097" max="4097" width="23.109375" style="501" bestFit="1" customWidth="1"/>
    <col min="4098" max="4098" width="8.88671875" style="501" customWidth="1"/>
    <col min="4099" max="4099" width="16" style="501" customWidth="1"/>
    <col min="4100" max="4101" width="8.88671875" style="501" customWidth="1"/>
    <col min="4102" max="4102" width="8.6640625" style="501" bestFit="1" customWidth="1"/>
    <col min="4103" max="4352" width="8.88671875" style="501"/>
    <col min="4353" max="4353" width="23.109375" style="501" bestFit="1" customWidth="1"/>
    <col min="4354" max="4354" width="8.88671875" style="501" customWidth="1"/>
    <col min="4355" max="4355" width="16" style="501" customWidth="1"/>
    <col min="4356" max="4357" width="8.88671875" style="501" customWidth="1"/>
    <col min="4358" max="4358" width="8.6640625" style="501" bestFit="1" customWidth="1"/>
    <col min="4359" max="4608" width="8.88671875" style="501"/>
    <col min="4609" max="4609" width="23.109375" style="501" bestFit="1" customWidth="1"/>
    <col min="4610" max="4610" width="8.88671875" style="501" customWidth="1"/>
    <col min="4611" max="4611" width="16" style="501" customWidth="1"/>
    <col min="4612" max="4613" width="8.88671875" style="501" customWidth="1"/>
    <col min="4614" max="4614" width="8.6640625" style="501" bestFit="1" customWidth="1"/>
    <col min="4615" max="4864" width="8.88671875" style="501"/>
    <col min="4865" max="4865" width="23.109375" style="501" bestFit="1" customWidth="1"/>
    <col min="4866" max="4866" width="8.88671875" style="501" customWidth="1"/>
    <col min="4867" max="4867" width="16" style="501" customWidth="1"/>
    <col min="4868" max="4869" width="8.88671875" style="501" customWidth="1"/>
    <col min="4870" max="4870" width="8.6640625" style="501" bestFit="1" customWidth="1"/>
    <col min="4871" max="5120" width="8.88671875" style="501"/>
    <col min="5121" max="5121" width="23.109375" style="501" bestFit="1" customWidth="1"/>
    <col min="5122" max="5122" width="8.88671875" style="501" customWidth="1"/>
    <col min="5123" max="5123" width="16" style="501" customWidth="1"/>
    <col min="5124" max="5125" width="8.88671875" style="501" customWidth="1"/>
    <col min="5126" max="5126" width="8.6640625" style="501" bestFit="1" customWidth="1"/>
    <col min="5127" max="5376" width="8.88671875" style="501"/>
    <col min="5377" max="5377" width="23.109375" style="501" bestFit="1" customWidth="1"/>
    <col min="5378" max="5378" width="8.88671875" style="501" customWidth="1"/>
    <col min="5379" max="5379" width="16" style="501" customWidth="1"/>
    <col min="5380" max="5381" width="8.88671875" style="501" customWidth="1"/>
    <col min="5382" max="5382" width="8.6640625" style="501" bestFit="1" customWidth="1"/>
    <col min="5383" max="5632" width="8.88671875" style="501"/>
    <col min="5633" max="5633" width="23.109375" style="501" bestFit="1" customWidth="1"/>
    <col min="5634" max="5634" width="8.88671875" style="501" customWidth="1"/>
    <col min="5635" max="5635" width="16" style="501" customWidth="1"/>
    <col min="5636" max="5637" width="8.88671875" style="501" customWidth="1"/>
    <col min="5638" max="5638" width="8.6640625" style="501" bestFit="1" customWidth="1"/>
    <col min="5639" max="5888" width="8.88671875" style="501"/>
    <col min="5889" max="5889" width="23.109375" style="501" bestFit="1" customWidth="1"/>
    <col min="5890" max="5890" width="8.88671875" style="501" customWidth="1"/>
    <col min="5891" max="5891" width="16" style="501" customWidth="1"/>
    <col min="5892" max="5893" width="8.88671875" style="501" customWidth="1"/>
    <col min="5894" max="5894" width="8.6640625" style="501" bestFit="1" customWidth="1"/>
    <col min="5895" max="6144" width="8.88671875" style="501"/>
    <col min="6145" max="6145" width="23.109375" style="501" bestFit="1" customWidth="1"/>
    <col min="6146" max="6146" width="8.88671875" style="501" customWidth="1"/>
    <col min="6147" max="6147" width="16" style="501" customWidth="1"/>
    <col min="6148" max="6149" width="8.88671875" style="501" customWidth="1"/>
    <col min="6150" max="6150" width="8.6640625" style="501" bestFit="1" customWidth="1"/>
    <col min="6151" max="6400" width="8.88671875" style="501"/>
    <col min="6401" max="6401" width="23.109375" style="501" bestFit="1" customWidth="1"/>
    <col min="6402" max="6402" width="8.88671875" style="501" customWidth="1"/>
    <col min="6403" max="6403" width="16" style="501" customWidth="1"/>
    <col min="6404" max="6405" width="8.88671875" style="501" customWidth="1"/>
    <col min="6406" max="6406" width="8.6640625" style="501" bestFit="1" customWidth="1"/>
    <col min="6407" max="6656" width="8.88671875" style="501"/>
    <col min="6657" max="6657" width="23.109375" style="501" bestFit="1" customWidth="1"/>
    <col min="6658" max="6658" width="8.88671875" style="501" customWidth="1"/>
    <col min="6659" max="6659" width="16" style="501" customWidth="1"/>
    <col min="6660" max="6661" width="8.88671875" style="501" customWidth="1"/>
    <col min="6662" max="6662" width="8.6640625" style="501" bestFit="1" customWidth="1"/>
    <col min="6663" max="6912" width="8.88671875" style="501"/>
    <col min="6913" max="6913" width="23.109375" style="501" bestFit="1" customWidth="1"/>
    <col min="6914" max="6914" width="8.88671875" style="501" customWidth="1"/>
    <col min="6915" max="6915" width="16" style="501" customWidth="1"/>
    <col min="6916" max="6917" width="8.88671875" style="501" customWidth="1"/>
    <col min="6918" max="6918" width="8.6640625" style="501" bestFit="1" customWidth="1"/>
    <col min="6919" max="7168" width="8.88671875" style="501"/>
    <col min="7169" max="7169" width="23.109375" style="501" bestFit="1" customWidth="1"/>
    <col min="7170" max="7170" width="8.88671875" style="501" customWidth="1"/>
    <col min="7171" max="7171" width="16" style="501" customWidth="1"/>
    <col min="7172" max="7173" width="8.88671875" style="501" customWidth="1"/>
    <col min="7174" max="7174" width="8.6640625" style="501" bestFit="1" customWidth="1"/>
    <col min="7175" max="7424" width="8.88671875" style="501"/>
    <col min="7425" max="7425" width="23.109375" style="501" bestFit="1" customWidth="1"/>
    <col min="7426" max="7426" width="8.88671875" style="501" customWidth="1"/>
    <col min="7427" max="7427" width="16" style="501" customWidth="1"/>
    <col min="7428" max="7429" width="8.88671875" style="501" customWidth="1"/>
    <col min="7430" max="7430" width="8.6640625" style="501" bestFit="1" customWidth="1"/>
    <col min="7431" max="7680" width="8.88671875" style="501"/>
    <col min="7681" max="7681" width="23.109375" style="501" bestFit="1" customWidth="1"/>
    <col min="7682" max="7682" width="8.88671875" style="501" customWidth="1"/>
    <col min="7683" max="7683" width="16" style="501" customWidth="1"/>
    <col min="7684" max="7685" width="8.88671875" style="501" customWidth="1"/>
    <col min="7686" max="7686" width="8.6640625" style="501" bestFit="1" customWidth="1"/>
    <col min="7687" max="7936" width="8.88671875" style="501"/>
    <col min="7937" max="7937" width="23.109375" style="501" bestFit="1" customWidth="1"/>
    <col min="7938" max="7938" width="8.88671875" style="501" customWidth="1"/>
    <col min="7939" max="7939" width="16" style="501" customWidth="1"/>
    <col min="7940" max="7941" width="8.88671875" style="501" customWidth="1"/>
    <col min="7942" max="7942" width="8.6640625" style="501" bestFit="1" customWidth="1"/>
    <col min="7943" max="8192" width="8.88671875" style="501"/>
    <col min="8193" max="8193" width="23.109375" style="501" bestFit="1" customWidth="1"/>
    <col min="8194" max="8194" width="8.88671875" style="501" customWidth="1"/>
    <col min="8195" max="8195" width="16" style="501" customWidth="1"/>
    <col min="8196" max="8197" width="8.88671875" style="501" customWidth="1"/>
    <col min="8198" max="8198" width="8.6640625" style="501" bestFit="1" customWidth="1"/>
    <col min="8199" max="8448" width="8.88671875" style="501"/>
    <col min="8449" max="8449" width="23.109375" style="501" bestFit="1" customWidth="1"/>
    <col min="8450" max="8450" width="8.88671875" style="501" customWidth="1"/>
    <col min="8451" max="8451" width="16" style="501" customWidth="1"/>
    <col min="8452" max="8453" width="8.88671875" style="501" customWidth="1"/>
    <col min="8454" max="8454" width="8.6640625" style="501" bestFit="1" customWidth="1"/>
    <col min="8455" max="8704" width="8.88671875" style="501"/>
    <col min="8705" max="8705" width="23.109375" style="501" bestFit="1" customWidth="1"/>
    <col min="8706" max="8706" width="8.88671875" style="501" customWidth="1"/>
    <col min="8707" max="8707" width="16" style="501" customWidth="1"/>
    <col min="8708" max="8709" width="8.88671875" style="501" customWidth="1"/>
    <col min="8710" max="8710" width="8.6640625" style="501" bestFit="1" customWidth="1"/>
    <col min="8711" max="8960" width="8.88671875" style="501"/>
    <col min="8961" max="8961" width="23.109375" style="501" bestFit="1" customWidth="1"/>
    <col min="8962" max="8962" width="8.88671875" style="501" customWidth="1"/>
    <col min="8963" max="8963" width="16" style="501" customWidth="1"/>
    <col min="8964" max="8965" width="8.88671875" style="501" customWidth="1"/>
    <col min="8966" max="8966" width="8.6640625" style="501" bestFit="1" customWidth="1"/>
    <col min="8967" max="9216" width="8.88671875" style="501"/>
    <col min="9217" max="9217" width="23.109375" style="501" bestFit="1" customWidth="1"/>
    <col min="9218" max="9218" width="8.88671875" style="501" customWidth="1"/>
    <col min="9219" max="9219" width="16" style="501" customWidth="1"/>
    <col min="9220" max="9221" width="8.88671875" style="501" customWidth="1"/>
    <col min="9222" max="9222" width="8.6640625" style="501" bestFit="1" customWidth="1"/>
    <col min="9223" max="9472" width="8.88671875" style="501"/>
    <col min="9473" max="9473" width="23.109375" style="501" bestFit="1" customWidth="1"/>
    <col min="9474" max="9474" width="8.88671875" style="501" customWidth="1"/>
    <col min="9475" max="9475" width="16" style="501" customWidth="1"/>
    <col min="9476" max="9477" width="8.88671875" style="501" customWidth="1"/>
    <col min="9478" max="9478" width="8.6640625" style="501" bestFit="1" customWidth="1"/>
    <col min="9479" max="9728" width="8.88671875" style="501"/>
    <col min="9729" max="9729" width="23.109375" style="501" bestFit="1" customWidth="1"/>
    <col min="9730" max="9730" width="8.88671875" style="501" customWidth="1"/>
    <col min="9731" max="9731" width="16" style="501" customWidth="1"/>
    <col min="9732" max="9733" width="8.88671875" style="501" customWidth="1"/>
    <col min="9734" max="9734" width="8.6640625" style="501" bestFit="1" customWidth="1"/>
    <col min="9735" max="9984" width="8.88671875" style="501"/>
    <col min="9985" max="9985" width="23.109375" style="501" bestFit="1" customWidth="1"/>
    <col min="9986" max="9986" width="8.88671875" style="501" customWidth="1"/>
    <col min="9987" max="9987" width="16" style="501" customWidth="1"/>
    <col min="9988" max="9989" width="8.88671875" style="501" customWidth="1"/>
    <col min="9990" max="9990" width="8.6640625" style="501" bestFit="1" customWidth="1"/>
    <col min="9991" max="10240" width="8.88671875" style="501"/>
    <col min="10241" max="10241" width="23.109375" style="501" bestFit="1" customWidth="1"/>
    <col min="10242" max="10242" width="8.88671875" style="501" customWidth="1"/>
    <col min="10243" max="10243" width="16" style="501" customWidth="1"/>
    <col min="10244" max="10245" width="8.88671875" style="501" customWidth="1"/>
    <col min="10246" max="10246" width="8.6640625" style="501" bestFit="1" customWidth="1"/>
    <col min="10247" max="10496" width="8.88671875" style="501"/>
    <col min="10497" max="10497" width="23.109375" style="501" bestFit="1" customWidth="1"/>
    <col min="10498" max="10498" width="8.88671875" style="501" customWidth="1"/>
    <col min="10499" max="10499" width="16" style="501" customWidth="1"/>
    <col min="10500" max="10501" width="8.88671875" style="501" customWidth="1"/>
    <col min="10502" max="10502" width="8.6640625" style="501" bestFit="1" customWidth="1"/>
    <col min="10503" max="10752" width="8.88671875" style="501"/>
    <col min="10753" max="10753" width="23.109375" style="501" bestFit="1" customWidth="1"/>
    <col min="10754" max="10754" width="8.88671875" style="501" customWidth="1"/>
    <col min="10755" max="10755" width="16" style="501" customWidth="1"/>
    <col min="10756" max="10757" width="8.88671875" style="501" customWidth="1"/>
    <col min="10758" max="10758" width="8.6640625" style="501" bestFit="1" customWidth="1"/>
    <col min="10759" max="11008" width="8.88671875" style="501"/>
    <col min="11009" max="11009" width="23.109375" style="501" bestFit="1" customWidth="1"/>
    <col min="11010" max="11010" width="8.88671875" style="501" customWidth="1"/>
    <col min="11011" max="11011" width="16" style="501" customWidth="1"/>
    <col min="11012" max="11013" width="8.88671875" style="501" customWidth="1"/>
    <col min="11014" max="11014" width="8.6640625" style="501" bestFit="1" customWidth="1"/>
    <col min="11015" max="11264" width="8.88671875" style="501"/>
    <col min="11265" max="11265" width="23.109375" style="501" bestFit="1" customWidth="1"/>
    <col min="11266" max="11266" width="8.88671875" style="501" customWidth="1"/>
    <col min="11267" max="11267" width="16" style="501" customWidth="1"/>
    <col min="11268" max="11269" width="8.88671875" style="501" customWidth="1"/>
    <col min="11270" max="11270" width="8.6640625" style="501" bestFit="1" customWidth="1"/>
    <col min="11271" max="11520" width="8.88671875" style="501"/>
    <col min="11521" max="11521" width="23.109375" style="501" bestFit="1" customWidth="1"/>
    <col min="11522" max="11522" width="8.88671875" style="501" customWidth="1"/>
    <col min="11523" max="11523" width="16" style="501" customWidth="1"/>
    <col min="11524" max="11525" width="8.88671875" style="501" customWidth="1"/>
    <col min="11526" max="11526" width="8.6640625" style="501" bestFit="1" customWidth="1"/>
    <col min="11527" max="11776" width="8.88671875" style="501"/>
    <col min="11777" max="11777" width="23.109375" style="501" bestFit="1" customWidth="1"/>
    <col min="11778" max="11778" width="8.88671875" style="501" customWidth="1"/>
    <col min="11779" max="11779" width="16" style="501" customWidth="1"/>
    <col min="11780" max="11781" width="8.88671875" style="501" customWidth="1"/>
    <col min="11782" max="11782" width="8.6640625" style="501" bestFit="1" customWidth="1"/>
    <col min="11783" max="12032" width="8.88671875" style="501"/>
    <col min="12033" max="12033" width="23.109375" style="501" bestFit="1" customWidth="1"/>
    <col min="12034" max="12034" width="8.88671875" style="501" customWidth="1"/>
    <col min="12035" max="12035" width="16" style="501" customWidth="1"/>
    <col min="12036" max="12037" width="8.88671875" style="501" customWidth="1"/>
    <col min="12038" max="12038" width="8.6640625" style="501" bestFit="1" customWidth="1"/>
    <col min="12039" max="12288" width="8.88671875" style="501"/>
    <col min="12289" max="12289" width="23.109375" style="501" bestFit="1" customWidth="1"/>
    <col min="12290" max="12290" width="8.88671875" style="501" customWidth="1"/>
    <col min="12291" max="12291" width="16" style="501" customWidth="1"/>
    <col min="12292" max="12293" width="8.88671875" style="501" customWidth="1"/>
    <col min="12294" max="12294" width="8.6640625" style="501" bestFit="1" customWidth="1"/>
    <col min="12295" max="12544" width="8.88671875" style="501"/>
    <col min="12545" max="12545" width="23.109375" style="501" bestFit="1" customWidth="1"/>
    <col min="12546" max="12546" width="8.88671875" style="501" customWidth="1"/>
    <col min="12547" max="12547" width="16" style="501" customWidth="1"/>
    <col min="12548" max="12549" width="8.88671875" style="501" customWidth="1"/>
    <col min="12550" max="12550" width="8.6640625" style="501" bestFit="1" customWidth="1"/>
    <col min="12551" max="12800" width="8.88671875" style="501"/>
    <col min="12801" max="12801" width="23.109375" style="501" bestFit="1" customWidth="1"/>
    <col min="12802" max="12802" width="8.88671875" style="501" customWidth="1"/>
    <col min="12803" max="12803" width="16" style="501" customWidth="1"/>
    <col min="12804" max="12805" width="8.88671875" style="501" customWidth="1"/>
    <col min="12806" max="12806" width="8.6640625" style="501" bestFit="1" customWidth="1"/>
    <col min="12807" max="13056" width="8.88671875" style="501"/>
    <col min="13057" max="13057" width="23.109375" style="501" bestFit="1" customWidth="1"/>
    <col min="13058" max="13058" width="8.88671875" style="501" customWidth="1"/>
    <col min="13059" max="13059" width="16" style="501" customWidth="1"/>
    <col min="13060" max="13061" width="8.88671875" style="501" customWidth="1"/>
    <col min="13062" max="13062" width="8.6640625" style="501" bestFit="1" customWidth="1"/>
    <col min="13063" max="13312" width="8.88671875" style="501"/>
    <col min="13313" max="13313" width="23.109375" style="501" bestFit="1" customWidth="1"/>
    <col min="13314" max="13314" width="8.88671875" style="501" customWidth="1"/>
    <col min="13315" max="13315" width="16" style="501" customWidth="1"/>
    <col min="13316" max="13317" width="8.88671875" style="501" customWidth="1"/>
    <col min="13318" max="13318" width="8.6640625" style="501" bestFit="1" customWidth="1"/>
    <col min="13319" max="13568" width="8.88671875" style="501"/>
    <col min="13569" max="13569" width="23.109375" style="501" bestFit="1" customWidth="1"/>
    <col min="13570" max="13570" width="8.88671875" style="501" customWidth="1"/>
    <col min="13571" max="13571" width="16" style="501" customWidth="1"/>
    <col min="13572" max="13573" width="8.88671875" style="501" customWidth="1"/>
    <col min="13574" max="13574" width="8.6640625" style="501" bestFit="1" customWidth="1"/>
    <col min="13575" max="13824" width="8.88671875" style="501"/>
    <col min="13825" max="13825" width="23.109375" style="501" bestFit="1" customWidth="1"/>
    <col min="13826" max="13826" width="8.88671875" style="501" customWidth="1"/>
    <col min="13827" max="13827" width="16" style="501" customWidth="1"/>
    <col min="13828" max="13829" width="8.88671875" style="501" customWidth="1"/>
    <col min="13830" max="13830" width="8.6640625" style="501" bestFit="1" customWidth="1"/>
    <col min="13831" max="14080" width="8.88671875" style="501"/>
    <col min="14081" max="14081" width="23.109375" style="501" bestFit="1" customWidth="1"/>
    <col min="14082" max="14082" width="8.88671875" style="501" customWidth="1"/>
    <col min="14083" max="14083" width="16" style="501" customWidth="1"/>
    <col min="14084" max="14085" width="8.88671875" style="501" customWidth="1"/>
    <col min="14086" max="14086" width="8.6640625" style="501" bestFit="1" customWidth="1"/>
    <col min="14087" max="14336" width="8.88671875" style="501"/>
    <col min="14337" max="14337" width="23.109375" style="501" bestFit="1" customWidth="1"/>
    <col min="14338" max="14338" width="8.88671875" style="501" customWidth="1"/>
    <col min="14339" max="14339" width="16" style="501" customWidth="1"/>
    <col min="14340" max="14341" width="8.88671875" style="501" customWidth="1"/>
    <col min="14342" max="14342" width="8.6640625" style="501" bestFit="1" customWidth="1"/>
    <col min="14343" max="14592" width="8.88671875" style="501"/>
    <col min="14593" max="14593" width="23.109375" style="501" bestFit="1" customWidth="1"/>
    <col min="14594" max="14594" width="8.88671875" style="501" customWidth="1"/>
    <col min="14595" max="14595" width="16" style="501" customWidth="1"/>
    <col min="14596" max="14597" width="8.88671875" style="501" customWidth="1"/>
    <col min="14598" max="14598" width="8.6640625" style="501" bestFit="1" customWidth="1"/>
    <col min="14599" max="14848" width="8.88671875" style="501"/>
    <col min="14849" max="14849" width="23.109375" style="501" bestFit="1" customWidth="1"/>
    <col min="14850" max="14850" width="8.88671875" style="501" customWidth="1"/>
    <col min="14851" max="14851" width="16" style="501" customWidth="1"/>
    <col min="14852" max="14853" width="8.88671875" style="501" customWidth="1"/>
    <col min="14854" max="14854" width="8.6640625" style="501" bestFit="1" customWidth="1"/>
    <col min="14855" max="15104" width="8.88671875" style="501"/>
    <col min="15105" max="15105" width="23.109375" style="501" bestFit="1" customWidth="1"/>
    <col min="15106" max="15106" width="8.88671875" style="501" customWidth="1"/>
    <col min="15107" max="15107" width="16" style="501" customWidth="1"/>
    <col min="15108" max="15109" width="8.88671875" style="501" customWidth="1"/>
    <col min="15110" max="15110" width="8.6640625" style="501" bestFit="1" customWidth="1"/>
    <col min="15111" max="15360" width="8.88671875" style="501"/>
    <col min="15361" max="15361" width="23.109375" style="501" bestFit="1" customWidth="1"/>
    <col min="15362" max="15362" width="8.88671875" style="501" customWidth="1"/>
    <col min="15363" max="15363" width="16" style="501" customWidth="1"/>
    <col min="15364" max="15365" width="8.88671875" style="501" customWidth="1"/>
    <col min="15366" max="15366" width="8.6640625" style="501" bestFit="1" customWidth="1"/>
    <col min="15367" max="15616" width="8.88671875" style="501"/>
    <col min="15617" max="15617" width="23.109375" style="501" bestFit="1" customWidth="1"/>
    <col min="15618" max="15618" width="8.88671875" style="501" customWidth="1"/>
    <col min="15619" max="15619" width="16" style="501" customWidth="1"/>
    <col min="15620" max="15621" width="8.88671875" style="501" customWidth="1"/>
    <col min="15622" max="15622" width="8.6640625" style="501" bestFit="1" customWidth="1"/>
    <col min="15623" max="15872" width="8.88671875" style="501"/>
    <col min="15873" max="15873" width="23.109375" style="501" bestFit="1" customWidth="1"/>
    <col min="15874" max="15874" width="8.88671875" style="501" customWidth="1"/>
    <col min="15875" max="15875" width="16" style="501" customWidth="1"/>
    <col min="15876" max="15877" width="8.88671875" style="501" customWidth="1"/>
    <col min="15878" max="15878" width="8.6640625" style="501" bestFit="1" customWidth="1"/>
    <col min="15879" max="16128" width="8.88671875" style="501"/>
    <col min="16129" max="16129" width="23.109375" style="501" bestFit="1" customWidth="1"/>
    <col min="16130" max="16130" width="8.88671875" style="501" customWidth="1"/>
    <col min="16131" max="16131" width="16" style="501" customWidth="1"/>
    <col min="16132" max="16133" width="8.88671875" style="501" customWidth="1"/>
    <col min="16134" max="16134" width="8.6640625" style="501" bestFit="1" customWidth="1"/>
    <col min="16135" max="16384" width="8.88671875" style="501"/>
  </cols>
  <sheetData>
    <row r="1" spans="1:256" ht="30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75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75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75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75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75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75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75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75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75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75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75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75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75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75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75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75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75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75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75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75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2019-04-10T13:30:51Z</dcterms:modified>
</cp:coreProperties>
</file>