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0\2021. II. notifikáció\2nd clarification\"/>
    </mc:Choice>
  </mc:AlternateContent>
  <bookViews>
    <workbookView xWindow="14508" yWindow="-12" windowWidth="14292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2A'!$AX$8:$AX$67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2A'!$D$8:$H$67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2A'!$C$1:$J$72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2A'!$A$1:$K$72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5" i="11"/>
  <c r="AX42" i="6"/>
  <c r="AX51" i="5"/>
  <c r="AX16" i="5"/>
  <c r="AX36" i="3"/>
  <c r="AX52" i="5"/>
  <c r="AX29" i="4"/>
  <c r="AX23" i="12"/>
  <c r="AX36" i="15"/>
  <c r="AX37" i="9"/>
  <c r="AX62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3" i="11"/>
  <c r="AX50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6" i="11"/>
  <c r="AX38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2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3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7" i="11"/>
  <c r="AX39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51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7" i="11"/>
  <c r="AX37" i="11"/>
  <c r="AX17" i="11"/>
  <c r="AX38" i="10"/>
  <c r="AX26" i="10"/>
  <c r="AX13" i="10"/>
  <c r="AX36" i="9"/>
  <c r="AX20" i="9"/>
  <c r="AX45" i="8"/>
  <c r="AX30" i="8"/>
  <c r="AX15" i="8"/>
  <c r="AX40" i="15"/>
  <c r="AX25" i="15"/>
  <c r="AX65" i="11"/>
  <c r="AX48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7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8" i="11" l="1"/>
  <c r="D75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D12" i="15"/>
  <c r="G74" i="15" l="1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1" i="11"/>
  <c r="G81" i="11"/>
  <c r="F81" i="11"/>
  <c r="E81" i="11"/>
  <c r="D81" i="11"/>
  <c r="H78" i="11"/>
  <c r="G78" i="11"/>
  <c r="F78" i="11"/>
  <c r="E78" i="11"/>
  <c r="H77" i="11"/>
  <c r="G77" i="11"/>
  <c r="F77" i="11"/>
  <c r="E77" i="11"/>
  <c r="H79" i="11"/>
  <c r="G79" i="11"/>
  <c r="F79" i="11"/>
  <c r="E79" i="11"/>
  <c r="D79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<sst xmlns="http://schemas.openxmlformats.org/spreadsheetml/2006/main" count="7577" uniqueCount="1305">
  <si>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</si>
  <si>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</si>
  <si>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</si>
  <si>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</si>
  <si>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</si>
  <si>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</si>
  <si>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</si>
  <si>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</si>
  <si>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</si>
  <si>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</si>
  <si>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</si>
  <si>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</si>
  <si>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</si>
  <si>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</si>
  <si>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</si>
  <si>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</si>
  <si>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</si>
  <si>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</si>
  <si>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</si>
  <si>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</si>
  <si>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</si>
  <si>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</si>
  <si>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</si>
  <si>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</si>
  <si>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</si>
  <si>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</si>
  <si>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</si>
  <si>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</si>
  <si>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</si>
  <si>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</si>
  <si>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</si>
  <si>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</si>
  <si>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</si>
  <si>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</si>
  <si>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</si>
  <si>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</si>
  <si>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</si>
  <si>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</si>
  <si>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</si>
  <si>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</si>
  <si>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</si>
  <si>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</si>
  <si>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</si>
  <si>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</si>
  <si>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</si>
  <si>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</si>
  <si>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</si>
  <si>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</si>
  <si>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</si>
  <si>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</si>
  <si>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</si>
  <si>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</si>
  <si>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</si>
  <si>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</si>
  <si>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</si>
  <si>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</si>
  <si>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</si>
  <si>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</si>
  <si>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</si>
  <si>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</si>
  <si>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</si>
  <si>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</si>
  <si>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</si>
  <si>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</si>
  <si>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</si>
  <si>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</si>
  <si>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</si>
  <si>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</si>
  <si>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</si>
  <si>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</si>
  <si>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</si>
  <si>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</si>
  <si>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</si>
  <si>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</si>
  <si>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</si>
  <si>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</si>
  <si>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</si>
  <si>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</si>
  <si>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</si>
  <si>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</si>
  <si>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</si>
  <si>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</si>
  <si>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</si>
  <si>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</si>
  <si>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</si>
  <si>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</si>
  <si>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</si>
  <si>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</si>
  <si>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</si>
  <si>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</si>
  <si>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</si>
  <si>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</si>
  <si>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</si>
  <si>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</si>
  <si>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</si>
  <si>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</si>
  <si>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</si>
  <si>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</si>
  <si>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</si>
  <si>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</si>
  <si>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</si>
  <si>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</si>
  <si>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</si>
  <si>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</si>
  <si>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</si>
  <si>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</si>
  <si>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</si>
  <si>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</si>
  <si>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</si>
  <si>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</si>
  <si>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</si>
  <si>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</si>
  <si>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</si>
  <si>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</si>
  <si>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</si>
  <si>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</si>
  <si>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</si>
  <si>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</si>
  <si>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</si>
  <si>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</si>
  <si>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</si>
  <si>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</si>
  <si>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</si>
  <si>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</si>
  <si>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</si>
  <si>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</si>
  <si>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</si>
  <si>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</si>
  <si>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</si>
  <si>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</si>
  <si>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</si>
  <si>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</si>
  <si>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</si>
  <si>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</si>
  <si>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</si>
  <si>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</si>
  <si>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</si>
  <si>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</si>
  <si>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</si>
  <si>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</si>
  <si>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</si>
  <si>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</si>
  <si>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</si>
  <si>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</si>
  <si>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</si>
  <si>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</si>
  <si>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</si>
  <si>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</si>
  <si>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</si>
  <si>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</si>
  <si>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</si>
  <si>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</si>
  <si>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</si>
  <si>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</si>
  <si>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</si>
  <si>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</si>
  <si>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</si>
  <si>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</si>
  <si>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</si>
  <si>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</si>
  <si>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</si>
  <si>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</si>
  <si>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</si>
  <si>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</si>
  <si>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</si>
  <si>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</si>
  <si>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</si>
  <si>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</si>
  <si>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</si>
  <si>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</si>
  <si>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</si>
  <si>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</si>
  <si>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</si>
  <si>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</si>
  <si>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</si>
  <si>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</si>
  <si>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</si>
  <si>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</si>
  <si>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</si>
  <si>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</si>
  <si>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</si>
  <si>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</si>
  <si>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</si>
  <si>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</si>
  <si>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</si>
  <si>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</si>
  <si>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</si>
  <si>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</si>
  <si>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</si>
  <si>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</si>
  <si>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</si>
  <si>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</si>
  <si>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</si>
  <si>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</si>
  <si>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</si>
  <si>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</si>
  <si>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</si>
  <si>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</si>
  <si>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</si>
  <si>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</si>
  <si>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</si>
  <si>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</si>
  <si>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</si>
  <si>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</si>
  <si>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</si>
  <si>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</si>
  <si>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</si>
  <si>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</si>
  <si>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</si>
  <si>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</si>
  <si>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</si>
  <si>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</si>
  <si>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</si>
  <si>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</si>
  <si>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</si>
  <si>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</si>
  <si>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</si>
  <si>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</si>
  <si>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</si>
  <si>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</si>
  <si>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</si>
  <si>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</si>
  <si>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</si>
  <si>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</si>
  <si>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</si>
  <si>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</si>
  <si>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</si>
  <si>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</si>
  <si>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</si>
  <si>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</si>
  <si>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</si>
  <si>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</si>
  <si>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</si>
  <si>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</si>
  <si>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</si>
  <si>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</si>
  <si>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</si>
  <si>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</si>
  <si>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</si>
  <si>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</si>
  <si>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</si>
  <si>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</si>
  <si>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</si>
  <si>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</si>
  <si>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</si>
  <si>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</si>
  <si>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</si>
  <si>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</si>
  <si>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</si>
  <si>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</si>
  <si>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</si>
  <si>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</si>
  <si>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</si>
  <si>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</si>
  <si>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</si>
  <si>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</si>
  <si>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</si>
  <si>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</si>
  <si>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</si>
  <si>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</si>
  <si>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</si>
  <si>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</si>
  <si>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</si>
  <si>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</si>
  <si>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</si>
  <si>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</si>
  <si>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</si>
  <si>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</si>
  <si>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</si>
  <si>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</si>
  <si>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</si>
  <si>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</si>
  <si>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</si>
  <si>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</si>
  <si>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</si>
  <si>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</si>
  <si>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</si>
  <si>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</si>
  <si>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</si>
  <si>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</si>
  <si>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</si>
  <si>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</si>
  <si>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</si>
  <si>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</si>
  <si>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</si>
  <si>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</si>
  <si>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</si>
  <si>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</si>
  <si>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</si>
  <si>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</si>
  <si>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</si>
  <si>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</si>
  <si>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</si>
  <si>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</si>
  <si>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</si>
  <si>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</si>
  <si>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</si>
  <si>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</si>
  <si>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</si>
  <si>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</si>
  <si>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</si>
  <si>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</si>
  <si>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</si>
  <si>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</si>
  <si>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</si>
  <si>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</si>
  <si>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</si>
  <si>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</si>
  <si>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</si>
  <si>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</si>
  <si>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</si>
  <si>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</si>
  <si>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</si>
  <si>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</si>
  <si>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</si>
  <si>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</si>
  <si>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</si>
  <si>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</si>
  <si>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</si>
  <si>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</si>
  <si>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</si>
  <si>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</si>
  <si>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</si>
  <si>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</si>
  <si>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</si>
  <si>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</si>
  <si>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</si>
  <si>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</si>
  <si>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</si>
  <si>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</si>
  <si>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</si>
  <si>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</si>
  <si>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</si>
  <si>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</si>
  <si>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</si>
  <si>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</si>
  <si>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</si>
  <si>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</si>
  <si>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</si>
  <si>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</si>
  <si>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</si>
  <si>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</si>
  <si>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</si>
  <si>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</si>
  <si>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</si>
  <si>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</si>
  <si>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</si>
  <si>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</si>
  <si>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</si>
  <si>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</si>
  <si>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</si>
  <si>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</si>
  <si>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</si>
  <si>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</si>
  <si>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</si>
  <si>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</si>
  <si>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</si>
  <si>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</si>
  <si>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</si>
  <si>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</si>
  <si>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</si>
  <si>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</si>
  <si>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</si>
  <si>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</si>
  <si>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</si>
  <si>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</si>
  <si>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</si>
  <si>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</si>
  <si>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</si>
  <si>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</si>
  <si>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</si>
  <si>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</si>
  <si>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</si>
  <si>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</si>
  <si>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</si>
  <si>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</si>
  <si>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</si>
  <si>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</si>
  <si>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</si>
  <si>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</si>
  <si>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</si>
  <si>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</si>
  <si>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</si>
  <si>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</si>
  <si>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</si>
  <si>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</si>
  <si>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</si>
  <si>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</si>
  <si>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</si>
  <si>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</si>
  <si>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</si>
  <si>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</si>
  <si>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</si>
  <si>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</si>
  <si>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</si>
  <si>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</si>
  <si>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</si>
  <si>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</si>
  <si>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</si>
  <si>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</si>
  <si>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</si>
  <si>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</si>
  <si>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</si>
  <si>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</si>
  <si>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</si>
  <si>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</si>
  <si>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</si>
  <si>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</si>
  <si>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</si>
  <si>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</si>
  <si>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</si>
  <si>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</si>
  <si>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</si>
  <si>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</si>
  <si>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</si>
  <si>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</si>
  <si>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</si>
  <si>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</si>
  <si>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</si>
  <si>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</si>
  <si>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</si>
  <si>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</si>
  <si>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</si>
  <si>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</si>
  <si>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</si>
  <si>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</si>
  <si>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</si>
  <si>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</si>
  <si>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</si>
  <si>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</si>
  <si>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</si>
  <si>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</si>
  <si>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</si>
  <si>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</si>
  <si>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</si>
  <si>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</si>
  <si>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</si>
  <si>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</si>
  <si>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</si>
  <si>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</si>
  <si>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</si>
  <si>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</si>
  <si>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</si>
  <si>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</si>
  <si>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</si>
  <si>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</si>
  <si>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</si>
  <si>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</si>
  <si>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</si>
  <si>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</si>
  <si>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</si>
  <si>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</si>
  <si>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</si>
  <si>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</si>
  <si>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</si>
  <si>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</si>
  <si>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</si>
  <si>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</si>
  <si>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</si>
  <si>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</si>
  <si>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</si>
  <si>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</si>
  <si>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</si>
  <si>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</si>
  <si>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</si>
  <si>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</si>
  <si>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</si>
  <si>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</si>
  <si>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</si>
  <si>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</si>
  <si>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</si>
  <si>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</si>
  <si>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</si>
  <si>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</si>
  <si>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</si>
  <si>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</si>
  <si>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</si>
  <si>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</si>
  <si>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</si>
  <si>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</si>
  <si>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</si>
  <si>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</si>
  <si>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</si>
  <si>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</si>
  <si>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</si>
  <si>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</si>
  <si>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</si>
  <si>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</si>
  <si>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</si>
  <si>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</si>
  <si>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</si>
  <si>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</si>
  <si>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</si>
  <si>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</si>
  <si>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</si>
  <si>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</si>
  <si>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</si>
  <si>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</si>
  <si>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</si>
  <si>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</si>
  <si>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</si>
  <si>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</si>
  <si>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</si>
  <si>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</si>
  <si>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</si>
  <si>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</si>
  <si>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</si>
  <si>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</si>
  <si>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</si>
  <si>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</si>
  <si>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</si>
  <si>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</si>
  <si>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</si>
  <si>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</si>
  <si>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</si>
  <si>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</si>
  <si>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</si>
  <si>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</si>
  <si>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</si>
  <si>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</si>
  <si>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</si>
  <si>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</si>
  <si>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</si>
  <si>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</si>
  <si>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</si>
  <si>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</si>
  <si>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</si>
  <si>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</si>
  <si>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</si>
  <si>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</si>
  <si>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</si>
  <si>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</si>
  <si>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</si>
  <si>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</si>
  <si>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</si>
  <si>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</si>
  <si>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</si>
  <si>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</si>
  <si>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</si>
  <si>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</si>
  <si>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</si>
  <si>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</si>
  <si>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</si>
  <si>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</si>
  <si>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</si>
  <si>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</si>
  <si>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</si>
  <si>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</si>
  <si>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</si>
  <si>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</si>
  <si>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</si>
  <si>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</si>
  <si>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</si>
  <si>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</si>
  <si>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</si>
  <si>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</si>
  <si>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</si>
  <si>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</si>
  <si>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</si>
  <si>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</si>
  <si>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</si>
  <si>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</si>
  <si>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</si>
  <si>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</si>
  <si>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</si>
  <si>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</si>
  <si>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</si>
  <si>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</si>
  <si>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</si>
  <si>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</si>
  <si>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</si>
  <si>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</si>
  <si>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</si>
  <si>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</si>
  <si>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</si>
  <si>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</si>
  <si>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</si>
  <si>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</si>
  <si>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</si>
  <si>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</si>
  <si>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</si>
  <si>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</si>
  <si>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</si>
  <si>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</si>
  <si>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</si>
  <si>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</si>
  <si>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</si>
  <si>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</si>
  <si>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</si>
  <si>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</si>
  <si>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</si>
  <si>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</si>
  <si>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</si>
  <si>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</si>
  <si>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</si>
  <si>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</si>
  <si>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</si>
  <si>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</si>
  <si>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</si>
  <si>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</si>
  <si>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</si>
  <si>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</si>
  <si>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</si>
  <si>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</si>
  <si>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</si>
  <si>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</si>
  <si>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</si>
  <si>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</si>
  <si>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</si>
  <si>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</si>
  <si>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</si>
  <si>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</si>
  <si>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</si>
  <si>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</si>
  <si>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</si>
  <si>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</si>
  <si>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</si>
  <si>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</si>
  <si>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</si>
  <si>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</si>
  <si>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</si>
  <si>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</si>
  <si>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</si>
  <si>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</si>
  <si>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</si>
  <si>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</si>
  <si>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</si>
  <si>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</si>
  <si>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</si>
  <si>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</si>
  <si>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</si>
  <si>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</si>
  <si>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</si>
  <si>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</si>
  <si>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</si>
  <si>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</si>
  <si>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</si>
  <si>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</si>
  <si>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</si>
  <si>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</si>
  <si>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</si>
  <si>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</si>
  <si>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</si>
  <si>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</si>
  <si>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</si>
  <si>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</si>
  <si>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</si>
  <si>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</si>
  <si>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</si>
  <si>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</si>
  <si>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</si>
  <si>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</si>
  <si>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</si>
  <si>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</si>
  <si>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</si>
  <si>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</si>
  <si>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</si>
  <si>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</si>
  <si>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</si>
  <si>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</si>
  <si>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</si>
  <si>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</si>
  <si>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</si>
  <si>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</si>
  <si>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</si>
  <si>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</si>
  <si>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</si>
  <si>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</si>
  <si>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</si>
  <si>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</si>
  <si>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</si>
  <si>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</si>
  <si>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</si>
  <si>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</si>
  <si>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</si>
  <si>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</si>
  <si>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</si>
  <si>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</si>
  <si>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</si>
  <si>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</si>
  <si>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</si>
  <si>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</si>
  <si>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</si>
  <si>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</si>
  <si>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</si>
  <si>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</si>
  <si>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</si>
  <si>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</si>
  <si>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</si>
  <si>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</si>
  <si>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</si>
  <si>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</si>
  <si>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</si>
  <si>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</si>
  <si>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</si>
  <si>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</si>
  <si>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</si>
  <si>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</si>
  <si>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</si>
  <si>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</si>
  <si>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</si>
  <si>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</si>
  <si>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</si>
  <si>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</si>
  <si>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</si>
  <si>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</si>
  <si>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</si>
  <si>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</si>
  <si>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</si>
  <si>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</si>
  <si>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</si>
  <si>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</si>
  <si>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</si>
  <si>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</si>
  <si>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</si>
  <si>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</si>
  <si>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</si>
  <si>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</si>
  <si>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</si>
  <si>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</si>
  <si>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</si>
  <si>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</si>
  <si>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</si>
  <si>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</si>
  <si>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</si>
  <si>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</si>
  <si>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</si>
  <si>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</si>
  <si>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</si>
  <si>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</si>
  <si>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</si>
  <si>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</si>
  <si>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</si>
  <si>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</si>
  <si>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</si>
  <si>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</si>
  <si>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</si>
  <si>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</si>
  <si>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</si>
  <si>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</si>
  <si>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</si>
  <si>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</si>
  <si>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</si>
  <si>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</si>
  <si>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</si>
  <si>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</si>
  <si>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</si>
  <si>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</si>
  <si>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</si>
  <si>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</si>
  <si>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</si>
  <si>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</si>
  <si>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</si>
  <si>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</si>
  <si>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</si>
  <si>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</si>
  <si>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</si>
  <si>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</si>
  <si>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</si>
  <si>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</si>
  <si>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</si>
  <si>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</si>
  <si>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</si>
  <si>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</si>
  <si>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</si>
  <si>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</si>
  <si>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</si>
  <si>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</si>
  <si>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</si>
  <si>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</si>
  <si>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</si>
  <si>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</si>
  <si>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</si>
  <si>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</si>
  <si>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</si>
  <si>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</si>
  <si>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</si>
  <si>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</si>
  <si>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</si>
  <si>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</si>
  <si>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</si>
  <si>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</si>
  <si>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</si>
  <si>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</si>
  <si>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</si>
  <si>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</si>
  <si>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</si>
  <si>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</si>
  <si>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</si>
  <si>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</si>
  <si>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</si>
  <si>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</si>
  <si>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</si>
  <si>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</si>
  <si>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</si>
  <si>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</si>
  <si>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</si>
  <si>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</si>
  <si>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</si>
  <si>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</si>
  <si>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</si>
  <si>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</si>
  <si>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</si>
  <si>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</si>
  <si>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</si>
  <si>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</si>
  <si>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</si>
  <si>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</si>
  <si>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</si>
  <si>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</si>
  <si>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</si>
  <si>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</si>
  <si>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</si>
  <si>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</si>
  <si>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</si>
  <si>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</si>
  <si>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</si>
  <si>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</si>
  <si>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</si>
  <si>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</si>
  <si>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</si>
  <si>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</si>
  <si>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</si>
  <si>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</si>
  <si>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</si>
  <si>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</si>
  <si>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</si>
  <si>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</si>
  <si>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</si>
  <si>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</si>
  <si>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</si>
  <si>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</si>
  <si>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</si>
  <si>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</si>
  <si>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</si>
  <si>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</si>
  <si>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</si>
  <si>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</si>
  <si>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</si>
  <si>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</si>
  <si>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</si>
  <si>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</si>
  <si>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</si>
  <si>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</si>
  <si>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</si>
  <si>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</si>
  <si>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</si>
  <si>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</si>
  <si>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</si>
  <si>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</si>
  <si>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</si>
  <si>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</si>
  <si>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</si>
  <si>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</si>
  <si>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</si>
  <si>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</si>
  <si>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</si>
  <si>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</si>
  <si>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</si>
  <si>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</si>
  <si>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</si>
  <si>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</si>
  <si>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</si>
  <si>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</si>
  <si>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</si>
  <si>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</si>
  <si>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</si>
  <si>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</si>
  <si>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</si>
  <si>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</si>
  <si>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</si>
  <si>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</si>
  <si>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</si>
  <si>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</si>
  <si>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</si>
  <si>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</si>
  <si>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</si>
  <si>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</si>
  <si>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</si>
  <si>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</si>
  <si>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</si>
  <si>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</si>
  <si>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</si>
  <si>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</si>
  <si>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</si>
  <si>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</si>
  <si>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</si>
  <si>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</si>
  <si>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</si>
  <si>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</si>
  <si>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</si>
  <si>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</si>
  <si>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</si>
  <si>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</si>
  <si>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</si>
  <si>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</si>
  <si>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</si>
  <si>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</si>
  <si>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</si>
  <si>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</si>
  <si>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</si>
  <si>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</si>
  <si>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</si>
  <si>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</si>
  <si>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</si>
  <si>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</si>
  <si>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</si>
  <si>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</si>
  <si>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</si>
  <si>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</si>
  <si>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</si>
  <si>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</si>
  <si>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</si>
  <si>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</si>
  <si>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</si>
  <si>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</si>
  <si>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</si>
  <si>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</si>
  <si>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</si>
  <si>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</si>
  <si>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</si>
  <si>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</si>
  <si>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</si>
  <si>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</si>
  <si>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</si>
  <si>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</si>
  <si>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</si>
  <si>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</si>
  <si>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</si>
  <si>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</si>
  <si>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</si>
  <si>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</si>
  <si>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</si>
  <si>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</si>
  <si>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</si>
  <si>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</si>
  <si>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</si>
  <si>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</si>
  <si>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</si>
  <si>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</si>
  <si>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</si>
  <si>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</si>
  <si>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</si>
  <si>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</si>
  <si>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</si>
  <si>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</si>
  <si>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</si>
  <si>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</si>
  <si>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</si>
  <si>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</si>
  <si>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</si>
  <si>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</si>
  <si>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</si>
  <si>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</si>
  <si>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</si>
  <si>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</si>
  <si>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</si>
  <si>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</si>
  <si>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</si>
  <si>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</si>
  <si>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</si>
  <si>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</si>
  <si>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</si>
  <si>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</si>
  <si>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</si>
  <si>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</si>
  <si>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</si>
  <si>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</si>
  <si>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</si>
  <si>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</si>
  <si>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</si>
  <si>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</si>
  <si>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</si>
  <si>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</si>
  <si>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</si>
  <si>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</si>
  <si>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</si>
  <si>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</si>
  <si>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</si>
  <si>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</si>
  <si>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</si>
  <si>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</si>
  <si>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</si>
  <si>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</si>
  <si>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</si>
  <si>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</si>
  <si>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</si>
  <si>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</si>
  <si>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</si>
  <si>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</si>
  <si>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</si>
  <si>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</si>
  <si>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</si>
  <si>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</si>
  <si>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</si>
  <si>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</si>
  <si>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</si>
  <si>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</si>
  <si>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</si>
  <si>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</si>
  <si>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</si>
  <si>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</si>
  <si>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</si>
  <si>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</si>
  <si>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</si>
  <si>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</si>
  <si>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</si>
  <si>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</si>
  <si>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</si>
  <si>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</si>
  <si>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</si>
  <si>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</si>
  <si>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</si>
  <si>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</si>
  <si>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</si>
  <si>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</si>
  <si>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</si>
  <si>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</si>
  <si>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</si>
  <si>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</si>
  <si>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</si>
  <si>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</si>
  <si>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</si>
  <si>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</si>
  <si>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</si>
  <si>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</si>
  <si>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</si>
  <si>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</si>
  <si>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</si>
  <si>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</si>
  <si>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</si>
  <si>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</si>
  <si>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</si>
  <si>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</si>
  <si>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</si>
  <si>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</si>
  <si>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</si>
  <si>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</si>
  <si>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</si>
  <si>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</si>
  <si>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</si>
  <si>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</si>
  <si>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</si>
  <si>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</si>
  <si>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</si>
  <si>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</si>
  <si>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</si>
  <si>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</si>
  <si>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</si>
  <si>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</si>
  <si>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</si>
  <si>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</si>
  <si>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</si>
  <si>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</si>
  <si>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</si>
  <si>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</si>
  <si>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</si>
  <si>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</si>
  <si>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</si>
  <si>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</si>
  <si>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</si>
  <si>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</si>
  <si>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</si>
  <si>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</si>
  <si>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</si>
  <si>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</si>
  <si>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</si>
  <si>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</si>
  <si>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</si>
  <si>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</si>
  <si>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</si>
  <si>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</si>
  <si>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</si>
  <si>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</si>
  <si>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</si>
  <si>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</si>
  <si>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</si>
  <si>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</si>
  <si>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</si>
  <si>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</si>
  <si>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</si>
  <si>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</si>
  <si>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</si>
  <si>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</si>
  <si>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</si>
  <si>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</si>
  <si>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</si>
  <si>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</si>
  <si>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</si>
  <si>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</si>
  <si>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</si>
  <si>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</si>
  <si>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</si>
  <si>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</si>
  <si>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</si>
  <si>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</si>
  <si>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</si>
  <si>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</si>
  <si>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</si>
  <si>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</si>
  <si>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</si>
  <si>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</si>
  <si>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</si>
  <si>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</si>
  <si>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</si>
  <si>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</si>
  <si>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</si>
  <si>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</si>
  <si>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</si>
  <si>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</si>
  <si>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</si>
  <si>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</si>
  <si>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</si>
  <si>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</si>
  <si>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</si>
  <si>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</si>
  <si>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</si>
  <si>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</si>
  <si>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</si>
  <si>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</si>
  <si>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</si>
  <si>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</si>
  <si>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</si>
  <si>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</si>
  <si>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</si>
  <si>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</si>
  <si>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</si>
  <si>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</si>
  <si>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</si>
  <si>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</si>
  <si>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</si>
  <si>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</si>
  <si>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</si>
  <si>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</si>
  <si>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</si>
  <si>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</si>
  <si>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</si>
  <si>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</si>
  <si>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</si>
  <si>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</si>
  <si>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</si>
  <si>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</si>
  <si>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</si>
  <si>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</si>
  <si>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</si>
  <si>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</si>
  <si>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</si>
  <si>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</si>
  <si>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</si>
  <si>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</si>
  <si>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</si>
  <si>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</si>
  <si>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</si>
  <si>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</si>
  <si>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</si>
  <si>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</si>
  <si>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</si>
  <si>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</si>
  <si>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</si>
  <si>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</si>
  <si>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</si>
  <si>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</si>
  <si>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</si>
  <si>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</si>
  <si>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</si>
  <si>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</si>
  <si>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</si>
  <si>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</si>
  <si>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</si>
  <si>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</si>
  <si>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</si>
  <si>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</si>
  <si>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</si>
  <si>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</si>
  <si>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</si>
  <si>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</si>
  <si>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</si>
  <si>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</si>
  <si>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</si>
  <si>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</si>
  <si>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</si>
  <si>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</si>
  <si>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</si>
  <si>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</si>
  <si>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</si>
  <si>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</si>
  <si>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</si>
  <si>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</si>
  <si>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</si>
  <si>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</si>
  <si>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</si>
  <si>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</si>
  <si>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</si>
  <si>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</si>
  <si>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</si>
  <si>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</si>
  <si>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</si>
  <si>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</si>
  <si>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</si>
  <si>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</si>
  <si>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</si>
  <si>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</si>
  <si>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</si>
  <si>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</si>
  <si>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</si>
  <si>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</si>
  <si>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</si>
  <si>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</si>
  <si>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</si>
  <si>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</si>
  <si>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</si>
  <si>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</si>
  <si>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</si>
  <si>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</si>
  <si>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</si>
  <si>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</si>
  <si>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</si>
  <si>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</si>
  <si>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</si>
  <si>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</si>
  <si>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</si>
  <si>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</si>
  <si>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</si>
  <si>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</si>
  <si>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</si>
  <si>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</si>
  <si>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</si>
  <si>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</si>
  <si>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S.2021</t>
  </si>
  <si>
    <t>Oct.2021</t>
  </si>
  <si>
    <t>Member State: Hungary</t>
  </si>
  <si>
    <t>Data are in HUF (millions of units of national currency)</t>
  </si>
  <si>
    <t>M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</si>
  <si>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</si>
  <si>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</si>
  <si>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</si>
  <si>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</si>
  <si>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</si>
  <si>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</si>
  <si>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 D.75</t>
  </si>
  <si>
    <t xml:space="preserve">   Relates to: Eu transfers</t>
  </si>
  <si>
    <t xml:space="preserve">   Relates to consolidation</t>
  </si>
  <si>
    <t xml:space="preserve">          of which: EU financial correction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</si>
  <si>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</si>
  <si>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</si>
  <si>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</si>
  <si>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</si>
  <si>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</si>
  <si>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</si>
  <si>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A.N.@@._Z.S1311._Z._Z.A.F.F8.T._Z.XDC._T.S.V.N.C09.EDP2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</si>
  <si>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</si>
  <si>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</si>
  <si>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</si>
  <si>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</si>
  <si>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</si>
  <si>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</si>
  <si>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</si>
  <si>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</si>
  <si>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</si>
  <si>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</si>
  <si>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</si>
  <si>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</si>
  <si>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</si>
  <si>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</si>
  <si>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</si>
  <si>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</si>
  <si>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</si>
  <si>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</si>
  <si>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</si>
  <si>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</si>
  <si>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</si>
  <si>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</si>
  <si>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</si>
  <si>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</si>
  <si>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</si>
  <si>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</si>
  <si>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</si>
  <si>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</si>
  <si>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</si>
  <si>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</si>
  <si>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</si>
  <si>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</si>
  <si>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</si>
  <si>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Capital injection in public corporations (rerouting)</t>
  </si>
  <si>
    <t xml:space="preserve">  Transfer of shares to a non-profit organization</t>
  </si>
  <si>
    <t>2019:Antenna Hungaria (55 HUF Bn), MVM (15,1 HUF bn), Ózdi Acélművek (11 HUF Bn), Mezőhegyes (8 HUF Bn) 2020: MVM (229HUF billion)</t>
  </si>
  <si>
    <t>Annual acrual basis affect of financial correction agreed in 2018-19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</si>
  <si>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</si>
  <si>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</si>
  <si>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</si>
  <si>
    <t>A.N.@@._Z.S1313._Z._Z.A.F.F8.T._Z.XDC._T.S.V.N.C03.EDP2</t>
  </si>
  <si>
    <t>A.N.@@._Z.S1313._Z._Z.A.F.F8.T._Z.XDC._T.S.V.N.C04.EDP2</t>
  </si>
  <si>
    <t xml:space="preserve">   Relates to P.11 and P.131</t>
  </si>
  <si>
    <t xml:space="preserve">   Relates to EU transfer advances from Central Government</t>
  </si>
  <si>
    <t>A.N.@@._Z.S1313._Z._Z.L.F.F8.T._Z.XDC._T.S.V.N.C03.EDP2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</si>
  <si>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</si>
  <si>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</si>
  <si>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</si>
  <si>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</si>
  <si>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</si>
  <si>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</si>
  <si>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</si>
  <si>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</si>
  <si>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</si>
  <si>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Date: 11/10/2021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</si>
</sst>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5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7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topLeftCell="A7" colorId="22" zoomScaleNormal="100" zoomScaleSheetLayoutView="50" zoomScalePageLayoutView="60" workbookViewId="0">
      <selection activeCell="E14" sqref="E14"/>
    </sheetView>
  </sheetViews>
  <sheetFormatPr defaultColWidth="9.81640625" defaultRowHeight="15"/>
  <cols>
    <col min="1" max="1" width="12.453125" style="23" customWidth="1"/>
    <col min="2" max="2" width="3.81640625" style="23" customWidth="1"/>
    <col min="3" max="3" width="35.453125" style="23" customWidth="1"/>
    <col min="4" max="4" width="11" style="23" customWidth="1"/>
    <col min="5" max="5" width="37.08984375" style="23" customWidth="1"/>
    <col min="6" max="6" width="10.81640625" style="23" customWidth="1"/>
    <col min="7" max="8" width="10.6328125" style="23" customWidth="1"/>
    <col min="9" max="9" width="27.6328125" style="23" customWidth="1"/>
    <col min="10" max="10" width="51.1796875" style="23" customWidth="1"/>
    <col min="11" max="11" width="5.36328125" style="23" customWidth="1"/>
    <col min="12" max="12" width="1" style="23" customWidth="1"/>
    <col min="13" max="13" width="0.54296875" style="23" customWidth="1"/>
    <col min="14" max="14" width="9.1796875" style="23" customWidth="1"/>
    <col min="15" max="15" width="4.453125" style="23" bestFit="1" customWidth="1"/>
    <col min="16" max="16" width="12.6328125" style="23" customWidth="1"/>
    <col min="17" max="17" width="4.453125" style="23" bestFit="1" customWidth="1"/>
    <col min="18" max="18" width="11.36328125" style="23" customWidth="1"/>
    <col min="19" max="21" width="9.81640625" style="23"/>
    <col min="22" max="22" width="10" style="23" customWidth="1"/>
    <col min="23" max="49" width="9.81640625" style="23"/>
    <col min="50" max="51" width="12.08984375" style="23" customWidth="1"/>
    <col min="52" max="56" width="12.08984375" style="23" hidden="1" customWidth="1"/>
    <col min="57" max="58" width="12.08984375" style="23" customWidth="1"/>
    <col min="59" max="16384" width="9.81640625" style="23"/>
  </cols>
  <sheetData>
    <row r="1" spans="1:55" ht="40.200000000000003" thickBot="1">
      <c r="A1" s="238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7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87" t="s">
        <v>800</v>
      </c>
      <c r="P1" s="688"/>
      <c r="Q1" s="688"/>
      <c r="R1" s="689"/>
      <c r="AZ1" s="649"/>
      <c r="BA1" s="650" t="str">
        <f t="shared" ref="BA1:BA28" si="0">"Member State: "&amp;BC1</f>
        <v>Member State: XXXX</v>
      </c>
      <c r="BB1" s="651" t="s">
        <v>1204</v>
      </c>
      <c r="BC1" s="652" t="s">
        <v>839</v>
      </c>
    </row>
    <row r="2" spans="1:55" ht="31.5" customHeight="1">
      <c r="A2" s="236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7"/>
      <c r="N2" s="680" t="s">
        <v>1229</v>
      </c>
      <c r="O2" s="646" t="s">
        <v>801</v>
      </c>
      <c r="P2" s="639" t="str">
        <f>IF(LEFT('Table 1'!E41,2)="OK","OK","not fully completed!")</f>
        <v>OK</v>
      </c>
      <c r="Q2" s="646" t="s">
        <v>806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814</v>
      </c>
      <c r="BC2" s="652" t="s">
        <v>841</v>
      </c>
    </row>
    <row r="3" spans="1:55" ht="31.5" customHeight="1">
      <c r="A3" s="235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7"/>
      <c r="N3" s="462"/>
      <c r="O3" s="647" t="s">
        <v>802</v>
      </c>
      <c r="P3" s="641" t="str">
        <f>IF(LEFT('Table 2A'!D75,2)="OK","OK","not fully completed!")</f>
        <v>OK</v>
      </c>
      <c r="Q3" s="647" t="s">
        <v>807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818</v>
      </c>
      <c r="BC3" s="652" t="s">
        <v>842</v>
      </c>
    </row>
    <row r="4" spans="1:55" ht="40.200000000000003">
      <c r="A4" s="377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7"/>
      <c r="N4" s="377"/>
      <c r="O4" s="647" t="s">
        <v>803</v>
      </c>
      <c r="P4" s="641" t="str">
        <f>IF(LEFT('Table 2B'!D51,2)="OK","OK","not fully completed!")</f>
        <v>OK</v>
      </c>
      <c r="Q4" s="647" t="s">
        <v>808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815</v>
      </c>
      <c r="BC4" s="652" t="s">
        <v>1214</v>
      </c>
    </row>
    <row r="5" spans="1:55" ht="40.799999999999997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7"/>
      <c r="N5" s="377"/>
      <c r="O5" s="647" t="s">
        <v>804</v>
      </c>
      <c r="P5" s="641" t="str">
        <f>IF(LEFT('Table 2C'!D54,2)="OK","OK","not fully completed!")</f>
        <v>OK</v>
      </c>
      <c r="Q5" s="647" t="s">
        <v>809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819</v>
      </c>
      <c r="BC5" s="652" t="s">
        <v>845</v>
      </c>
    </row>
    <row r="6" spans="1:55" ht="41.4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7"/>
      <c r="N6" s="377"/>
      <c r="O6" s="648" t="s">
        <v>805</v>
      </c>
      <c r="P6" s="643" t="str">
        <f>IF(LEFT('Table 2D'!D53,2)="OK","OK","not fully completed!")</f>
        <v>OK</v>
      </c>
      <c r="Q6" s="647" t="s">
        <v>810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817</v>
      </c>
      <c r="BC6" s="652" t="s">
        <v>850</v>
      </c>
    </row>
    <row r="7" spans="1:55" ht="41.4" thickBot="1">
      <c r="A7" s="377"/>
      <c r="B7" s="463"/>
      <c r="C7" s="468"/>
      <c r="D7" s="470"/>
      <c r="E7" s="471"/>
      <c r="F7" s="377"/>
      <c r="G7" s="472"/>
      <c r="H7" s="472"/>
      <c r="I7" s="472"/>
      <c r="J7" s="466"/>
      <c r="K7" s="466"/>
      <c r="L7" s="466"/>
      <c r="M7" s="377"/>
      <c r="N7" s="377"/>
      <c r="O7" s="644"/>
      <c r="P7" s="644"/>
      <c r="Q7" s="648" t="s">
        <v>811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820</v>
      </c>
      <c r="BC7" s="652" t="s">
        <v>846</v>
      </c>
    </row>
    <row r="8" spans="1:55" ht="10.5" customHeight="1" thickBot="1">
      <c r="A8" s="377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7"/>
      <c r="N8" s="377"/>
      <c r="AZ8" s="649"/>
      <c r="BA8" s="650" t="str">
        <f t="shared" si="0"/>
        <v>Member State: Ireland</v>
      </c>
      <c r="BB8" s="652" t="s">
        <v>826</v>
      </c>
      <c r="BC8" s="652" t="s">
        <v>852</v>
      </c>
    </row>
    <row r="9" spans="1:55" ht="10.5" customHeight="1">
      <c r="A9" s="377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7"/>
      <c r="N9" s="377"/>
      <c r="AZ9" s="649"/>
      <c r="BA9" s="650" t="str">
        <f t="shared" si="0"/>
        <v>Member State: Greece</v>
      </c>
      <c r="BB9" s="652" t="s">
        <v>821</v>
      </c>
      <c r="BC9" s="652" t="s">
        <v>849</v>
      </c>
    </row>
    <row r="10" spans="1:55" ht="40.799999999999997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7"/>
      <c r="N10" s="377"/>
      <c r="AZ10" s="649"/>
      <c r="BA10" s="650" t="str">
        <f t="shared" si="0"/>
        <v>Member State: Spain</v>
      </c>
      <c r="BB10" s="652" t="s">
        <v>837</v>
      </c>
      <c r="BC10" s="652" t="s">
        <v>862</v>
      </c>
    </row>
    <row r="11" spans="1:55" ht="33" customHeight="1">
      <c r="A11" s="377"/>
      <c r="B11" s="463"/>
      <c r="C11" s="686"/>
      <c r="D11" s="686"/>
      <c r="E11" s="686"/>
      <c r="F11" s="686"/>
      <c r="G11" s="686"/>
      <c r="H11" s="686"/>
      <c r="I11" s="686"/>
      <c r="J11" s="686"/>
      <c r="K11" s="466"/>
      <c r="L11" s="466"/>
      <c r="M11" s="377"/>
      <c r="N11" s="377"/>
      <c r="AZ11" s="649"/>
      <c r="BA11" s="650" t="str">
        <f t="shared" si="0"/>
        <v>Member State: France</v>
      </c>
      <c r="BB11" s="652" t="s">
        <v>822</v>
      </c>
      <c r="BC11" s="652" t="s">
        <v>848</v>
      </c>
    </row>
    <row r="12" spans="1:55" ht="13.5" customHeight="1">
      <c r="A12" s="377"/>
      <c r="B12" s="463"/>
      <c r="C12" s="377"/>
      <c r="D12" s="377"/>
      <c r="E12" s="478"/>
      <c r="F12" s="234"/>
      <c r="G12" s="479"/>
      <c r="H12" s="466"/>
      <c r="I12" s="466"/>
      <c r="J12" s="466"/>
      <c r="K12" s="466"/>
      <c r="L12" s="466"/>
      <c r="M12" s="377"/>
      <c r="N12" s="377"/>
      <c r="AZ12" s="649"/>
      <c r="BA12" s="650" t="str">
        <f t="shared" si="0"/>
        <v>Member State: Croatia</v>
      </c>
      <c r="BB12" s="652" t="s">
        <v>825</v>
      </c>
      <c r="BC12" s="652" t="s">
        <v>843</v>
      </c>
    </row>
    <row r="13" spans="1:55" ht="33">
      <c r="B13" s="463"/>
      <c r="C13" s="160"/>
      <c r="D13" s="377"/>
      <c r="E13" s="653" t="s">
        <v>1230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827</v>
      </c>
      <c r="BC13" s="652" t="s">
        <v>853</v>
      </c>
    </row>
    <row r="14" spans="1:55" ht="33">
      <c r="B14" s="463"/>
      <c r="C14" s="160"/>
      <c r="E14" s="161" t="s">
        <v>1304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816</v>
      </c>
      <c r="BC14" s="652" t="s">
        <v>844</v>
      </c>
    </row>
    <row r="15" spans="1:55" ht="31.2">
      <c r="A15" s="377"/>
      <c r="B15" s="463"/>
      <c r="C15" s="346"/>
      <c r="D15" s="377"/>
      <c r="E15" s="480" t="s">
        <v>82</v>
      </c>
      <c r="F15" s="377"/>
      <c r="G15" s="481"/>
      <c r="H15" s="377"/>
      <c r="I15" s="377"/>
      <c r="J15" s="377"/>
      <c r="K15" s="377"/>
      <c r="L15" s="377"/>
      <c r="M15" s="377"/>
      <c r="N15" s="377"/>
      <c r="AZ15" s="649"/>
      <c r="BA15" s="650" t="str">
        <f t="shared" si="0"/>
        <v>Member State: Latvia</v>
      </c>
      <c r="BB15" s="652" t="s">
        <v>830</v>
      </c>
      <c r="BC15" s="652" t="s">
        <v>854</v>
      </c>
    </row>
    <row r="16" spans="1:55" ht="31.2">
      <c r="A16" s="377"/>
      <c r="B16" s="463"/>
      <c r="C16" s="346"/>
      <c r="D16" s="480"/>
      <c r="E16" s="377"/>
      <c r="F16" s="377"/>
      <c r="G16" s="481"/>
      <c r="H16" s="377"/>
      <c r="I16" s="377"/>
      <c r="J16" s="377"/>
      <c r="K16" s="377"/>
      <c r="L16" s="377"/>
      <c r="M16" s="377"/>
      <c r="N16" s="377"/>
      <c r="AZ16" s="649"/>
      <c r="BA16" s="650" t="str">
        <f t="shared" si="0"/>
        <v>Member State: Lithuania</v>
      </c>
      <c r="BB16" s="652" t="s">
        <v>828</v>
      </c>
      <c r="BC16" s="652" t="s">
        <v>855</v>
      </c>
    </row>
    <row r="17" spans="1:60" ht="30">
      <c r="A17" s="377"/>
      <c r="B17" s="463"/>
      <c r="C17" s="482" t="s">
        <v>1227</v>
      </c>
      <c r="D17" s="482"/>
      <c r="E17" s="483"/>
      <c r="F17" s="483"/>
      <c r="G17" s="483"/>
      <c r="H17" s="483"/>
      <c r="I17" s="483"/>
      <c r="J17" s="483"/>
      <c r="K17" s="377"/>
      <c r="L17" s="377"/>
      <c r="M17" s="377"/>
      <c r="N17" s="377"/>
      <c r="AZ17" s="649"/>
      <c r="BA17" s="650" t="str">
        <f t="shared" si="0"/>
        <v>Member State: Luxembourg</v>
      </c>
      <c r="BB17" s="652" t="s">
        <v>829</v>
      </c>
      <c r="BC17" s="652" t="s">
        <v>856</v>
      </c>
    </row>
    <row r="18" spans="1:60" ht="30">
      <c r="A18" s="377"/>
      <c r="B18" s="463"/>
      <c r="C18" s="482"/>
      <c r="D18" s="482"/>
      <c r="E18" s="483"/>
      <c r="F18" s="483"/>
      <c r="G18" s="483"/>
      <c r="H18" s="483"/>
      <c r="I18" s="483"/>
      <c r="J18" s="483"/>
      <c r="K18" s="377"/>
      <c r="L18" s="377"/>
      <c r="M18" s="377"/>
      <c r="N18" s="377"/>
      <c r="AZ18" s="649"/>
      <c r="BA18" s="650" t="str">
        <f t="shared" si="0"/>
        <v>Member State: Hungary</v>
      </c>
      <c r="BB18" s="652" t="s">
        <v>824</v>
      </c>
      <c r="BC18" s="652" t="s">
        <v>851</v>
      </c>
    </row>
    <row r="19" spans="1:60" ht="23.25" customHeight="1">
      <c r="A19" s="274"/>
      <c r="B19" s="484"/>
      <c r="C19" s="685" t="s">
        <v>1225</v>
      </c>
      <c r="D19" s="685"/>
      <c r="E19" s="685"/>
      <c r="F19" s="685"/>
      <c r="G19" s="685"/>
      <c r="H19" s="685"/>
      <c r="I19" s="685"/>
      <c r="J19" s="685"/>
      <c r="K19" s="274"/>
      <c r="L19" s="274"/>
      <c r="M19" s="274"/>
      <c r="N19" s="274"/>
      <c r="O19" s="13"/>
      <c r="P19" s="13"/>
      <c r="AZ19" s="649"/>
      <c r="BA19" s="650" t="str">
        <f t="shared" si="0"/>
        <v>Member State: Malta</v>
      </c>
      <c r="BB19" s="652" t="s">
        <v>831</v>
      </c>
      <c r="BC19" s="652" t="s">
        <v>857</v>
      </c>
    </row>
    <row r="20" spans="1:60" ht="23.25" customHeight="1">
      <c r="A20" s="274"/>
      <c r="B20" s="484"/>
      <c r="C20" s="685"/>
      <c r="D20" s="685"/>
      <c r="E20" s="685"/>
      <c r="F20" s="685"/>
      <c r="G20" s="685"/>
      <c r="H20" s="685"/>
      <c r="I20" s="685"/>
      <c r="J20" s="685"/>
      <c r="K20" s="274"/>
      <c r="L20" s="274"/>
      <c r="M20" s="274"/>
      <c r="N20" s="274"/>
      <c r="O20" s="13"/>
      <c r="P20" s="13"/>
      <c r="AZ20" s="649"/>
      <c r="BA20" s="650" t="str">
        <f t="shared" si="0"/>
        <v>Member State: Netherlands</v>
      </c>
      <c r="BB20" s="652" t="s">
        <v>832</v>
      </c>
      <c r="BC20" s="652" t="s">
        <v>1219</v>
      </c>
    </row>
    <row r="21" spans="1:60" ht="30">
      <c r="A21" s="274"/>
      <c r="B21" s="484"/>
      <c r="C21" s="482"/>
      <c r="D21" s="482"/>
      <c r="E21" s="483"/>
      <c r="F21" s="483"/>
      <c r="G21" s="483"/>
      <c r="H21" s="483"/>
      <c r="I21" s="483"/>
      <c r="J21" s="483"/>
      <c r="K21" s="274"/>
      <c r="L21" s="274"/>
      <c r="M21" s="274"/>
      <c r="N21" s="274"/>
      <c r="O21" s="13"/>
      <c r="P21" s="13"/>
      <c r="AZ21" s="649"/>
      <c r="BA21" s="650" t="str">
        <f t="shared" si="0"/>
        <v>Member State: Austria</v>
      </c>
      <c r="BB21" s="652" t="s">
        <v>813</v>
      </c>
      <c r="BC21" s="652" t="s">
        <v>840</v>
      </c>
    </row>
    <row r="22" spans="1:60" ht="23.25" customHeight="1">
      <c r="A22" s="274"/>
      <c r="B22" s="377"/>
      <c r="C22" s="685" t="s">
        <v>1226</v>
      </c>
      <c r="D22" s="685"/>
      <c r="E22" s="685"/>
      <c r="F22" s="685"/>
      <c r="G22" s="685"/>
      <c r="H22" s="685"/>
      <c r="I22" s="685"/>
      <c r="J22" s="685"/>
      <c r="K22" s="377"/>
      <c r="L22" s="377"/>
      <c r="M22" s="377"/>
      <c r="N22" s="377"/>
      <c r="AZ22" s="649"/>
      <c r="BA22" s="650" t="str">
        <f t="shared" si="0"/>
        <v>Member State: Poland</v>
      </c>
      <c r="BB22" s="652" t="s">
        <v>833</v>
      </c>
      <c r="BC22" s="652" t="s">
        <v>858</v>
      </c>
    </row>
    <row r="23" spans="1:60" ht="23.25" customHeight="1">
      <c r="A23" s="274"/>
      <c r="B23" s="377"/>
      <c r="C23" s="685"/>
      <c r="D23" s="685"/>
      <c r="E23" s="685"/>
      <c r="F23" s="685"/>
      <c r="G23" s="685"/>
      <c r="H23" s="685"/>
      <c r="I23" s="685"/>
      <c r="J23" s="685"/>
      <c r="K23" s="377"/>
      <c r="L23" s="377"/>
      <c r="M23" s="377"/>
      <c r="N23" s="377"/>
      <c r="AZ23" s="649"/>
      <c r="BA23" s="650" t="str">
        <f t="shared" si="0"/>
        <v>Member State: Portugal</v>
      </c>
      <c r="BB23" s="652" t="s">
        <v>834</v>
      </c>
      <c r="BC23" s="652" t="s">
        <v>859</v>
      </c>
    </row>
    <row r="24" spans="1:60" ht="30">
      <c r="A24" s="274"/>
      <c r="B24" s="377"/>
      <c r="C24" s="482"/>
      <c r="D24" s="482"/>
      <c r="E24" s="483"/>
      <c r="F24" s="483"/>
      <c r="G24" s="483"/>
      <c r="H24" s="483"/>
      <c r="I24" s="483"/>
      <c r="J24" s="483"/>
      <c r="K24" s="377"/>
      <c r="L24" s="377"/>
      <c r="M24" s="377"/>
      <c r="N24" s="377"/>
      <c r="AZ24" s="649"/>
      <c r="BA24" s="650" t="str">
        <f t="shared" si="0"/>
        <v>Member State: Romania</v>
      </c>
      <c r="BB24" s="652" t="s">
        <v>838</v>
      </c>
      <c r="BC24" s="652" t="s">
        <v>860</v>
      </c>
    </row>
    <row r="25" spans="1:60" ht="30">
      <c r="A25" s="485"/>
      <c r="B25" s="377"/>
      <c r="C25" s="486" t="s">
        <v>1</v>
      </c>
      <c r="D25" s="486"/>
      <c r="E25" s="483"/>
      <c r="F25" s="483"/>
      <c r="G25" s="483"/>
      <c r="H25" s="483"/>
      <c r="I25" s="483"/>
      <c r="J25" s="483"/>
      <c r="K25" s="377"/>
      <c r="L25" s="377"/>
      <c r="M25" s="377"/>
      <c r="N25" s="377"/>
      <c r="AZ25" s="649"/>
      <c r="BA25" s="650" t="str">
        <f t="shared" si="0"/>
        <v>Member State: Slovenia</v>
      </c>
      <c r="BB25" s="652" t="s">
        <v>812</v>
      </c>
      <c r="BC25" s="652" t="s">
        <v>861</v>
      </c>
    </row>
    <row r="26" spans="1:60" ht="30">
      <c r="A26" s="274"/>
      <c r="B26" s="484"/>
      <c r="C26" s="483"/>
      <c r="D26" s="483"/>
      <c r="E26" s="483"/>
      <c r="F26" s="483"/>
      <c r="G26" s="483"/>
      <c r="H26" s="483"/>
      <c r="I26" s="483"/>
      <c r="J26" s="483"/>
      <c r="K26" s="274"/>
      <c r="L26" s="274"/>
      <c r="M26" s="274"/>
      <c r="N26" s="377"/>
      <c r="AZ26" s="649"/>
      <c r="BA26" s="650" t="str">
        <f t="shared" si="0"/>
        <v>Member State: Slovakia</v>
      </c>
      <c r="BB26" s="652" t="s">
        <v>836</v>
      </c>
      <c r="BC26" s="652" t="s">
        <v>1215</v>
      </c>
    </row>
    <row r="27" spans="1:60" ht="30">
      <c r="A27" s="274"/>
      <c r="B27" s="484"/>
      <c r="C27" s="483"/>
      <c r="D27" s="483"/>
      <c r="E27" s="483"/>
      <c r="F27" s="483"/>
      <c r="G27" s="483"/>
      <c r="H27" s="483"/>
      <c r="I27" s="483"/>
      <c r="J27" s="483"/>
      <c r="K27" s="274"/>
      <c r="L27" s="274"/>
      <c r="M27" s="274"/>
      <c r="N27" s="377"/>
      <c r="AZ27" s="649"/>
      <c r="BA27" s="650" t="str">
        <f t="shared" si="0"/>
        <v>Member State: Finland</v>
      </c>
      <c r="BB27" s="652" t="s">
        <v>823</v>
      </c>
      <c r="BC27" s="652" t="s">
        <v>847</v>
      </c>
    </row>
    <row r="28" spans="1:60" ht="26.25" customHeight="1">
      <c r="A28" s="274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74"/>
      <c r="L28" s="274"/>
      <c r="M28" s="274"/>
      <c r="N28" s="377"/>
      <c r="AZ28" s="649"/>
      <c r="BA28" s="650" t="str">
        <f t="shared" si="0"/>
        <v>Member State: Sweden</v>
      </c>
      <c r="BB28" s="652" t="s">
        <v>835</v>
      </c>
      <c r="BC28" s="652" t="s">
        <v>863</v>
      </c>
    </row>
    <row r="29" spans="1:60" ht="26.25" customHeight="1">
      <c r="A29" s="274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74"/>
      <c r="L29" s="274"/>
      <c r="M29" s="274"/>
      <c r="N29" s="377"/>
      <c r="BA29" s="650"/>
      <c r="BB29" s="652"/>
      <c r="BC29" s="652"/>
    </row>
    <row r="30" spans="1:60" ht="26.25" customHeight="1">
      <c r="A30" s="274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74"/>
      <c r="L30" s="274"/>
      <c r="M30" s="274"/>
      <c r="N30" s="377"/>
      <c r="BA30" s="650" t="str">
        <f>BC30</f>
        <v>Iceland</v>
      </c>
      <c r="BB30" s="652" t="s">
        <v>868</v>
      </c>
      <c r="BC30" s="652" t="s">
        <v>869</v>
      </c>
    </row>
    <row r="31" spans="1:60" ht="22.8">
      <c r="A31" s="274"/>
      <c r="B31" s="48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0" t="str">
        <f>BC31</f>
        <v>Liechtenstein</v>
      </c>
      <c r="BB31" s="652" t="s">
        <v>1220</v>
      </c>
      <c r="BC31" s="652" t="s">
        <v>1221</v>
      </c>
      <c r="BG31" s="652"/>
      <c r="BH31" s="652"/>
    </row>
    <row r="32" spans="1:60" ht="22.8">
      <c r="A32" s="274"/>
      <c r="B32" s="48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0" t="str">
        <f>BC32</f>
        <v>Norway</v>
      </c>
      <c r="BB32" s="652" t="s">
        <v>873</v>
      </c>
      <c r="BC32" s="652" t="s">
        <v>874</v>
      </c>
    </row>
    <row r="33" spans="1:55" ht="22.8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0" si="1">BC33</f>
        <v>Switzerland</v>
      </c>
      <c r="BB33" s="652" t="s">
        <v>866</v>
      </c>
      <c r="BC33" s="652" t="s">
        <v>867</v>
      </c>
    </row>
    <row r="34" spans="1:55" ht="22.8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864</v>
      </c>
      <c r="BC34" s="652" t="s">
        <v>865</v>
      </c>
    </row>
    <row r="35" spans="1:55" ht="22.8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1224</v>
      </c>
      <c r="BB35" s="652" t="s">
        <v>872</v>
      </c>
      <c r="BC35" s="652" t="s">
        <v>1222</v>
      </c>
    </row>
    <row r="36" spans="1:55" ht="30.6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tr">
        <f t="shared" si="1"/>
        <v>Montenegro</v>
      </c>
      <c r="BB36" s="652" t="s">
        <v>870</v>
      </c>
      <c r="BC36" s="652" t="s">
        <v>871</v>
      </c>
    </row>
    <row r="37" spans="1:55" ht="22.8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Turkey</v>
      </c>
      <c r="BB37" s="652" t="s">
        <v>877</v>
      </c>
      <c r="BC37" s="652" t="s">
        <v>878</v>
      </c>
    </row>
    <row r="38" spans="1:55" ht="22.8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875</v>
      </c>
      <c r="BC38" s="652" t="s">
        <v>876</v>
      </c>
    </row>
    <row r="39" spans="1:55" ht="22.8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tr">
        <f t="shared" si="1"/>
        <v>Bosnia and Herzegovina</v>
      </c>
      <c r="BB39" s="652" t="s">
        <v>1216</v>
      </c>
      <c r="BC39" s="652" t="s">
        <v>1217</v>
      </c>
    </row>
    <row r="40" spans="1:55" ht="22.8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tr">
        <f t="shared" si="1"/>
        <v>Kosovo*</v>
      </c>
      <c r="BB40" s="652" t="s">
        <v>1223</v>
      </c>
      <c r="BC40" s="652" t="s">
        <v>1218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2" priority="7" operator="equal">
      <formula>"not fully completed!"</formula>
    </cfRule>
  </conditionalFormatting>
  <conditionalFormatting sqref="E13">
    <cfRule type="cellIs" dxfId="31" priority="2" operator="equal">
      <formula>""</formula>
    </cfRule>
  </conditionalFormatting>
  <conditionalFormatting sqref="N1">
    <cfRule type="cellIs" dxfId="30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9" colorId="22" zoomScale="80" zoomScaleNormal="80" zoomScaleSheetLayoutView="80" workbookViewId="0">
      <selection activeCell="H30" sqref="H30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7.54296875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3" width="12" style="23" customWidth="1"/>
    <col min="14" max="14" width="13.08984375" style="23" customWidth="1"/>
    <col min="15" max="15" width="9.36328125" style="23" customWidth="1"/>
    <col min="16" max="27" width="9.81640625" style="23"/>
    <col min="29" max="49" width="9.81640625" style="23"/>
    <col min="50" max="50" width="9.36328125" style="658" customWidth="1"/>
    <col min="51" max="16384" width="9.81640625" style="23"/>
  </cols>
  <sheetData>
    <row r="1" spans="1:50"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797</v>
      </c>
      <c r="D2" s="271"/>
      <c r="E2" s="377"/>
      <c r="F2" s="377"/>
      <c r="G2" s="377"/>
      <c r="K2" s="13"/>
      <c r="N2" s="679" t="s">
        <v>1229</v>
      </c>
    </row>
    <row r="3" spans="1:50" ht="17.399999999999999">
      <c r="B3" s="30"/>
      <c r="C3" s="343" t="s">
        <v>61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77"/>
      <c r="F4" s="377"/>
      <c r="G4" s="377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1231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11/10/2021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342</v>
      </c>
      <c r="B10" s="490" t="s">
        <v>1152</v>
      </c>
      <c r="C10" s="374" t="s">
        <v>776</v>
      </c>
      <c r="D10" s="91" t="s">
        <v>1232</v>
      </c>
      <c r="E10" s="91" t="s">
        <v>1232</v>
      </c>
      <c r="F10" s="91" t="s">
        <v>1232</v>
      </c>
      <c r="G10" s="92" t="s">
        <v>1232</v>
      </c>
      <c r="H10" s="4"/>
      <c r="I10" s="52"/>
      <c r="AX10" s="658" t="str">
        <f>CountryCode &amp; ".T3.B9.S1312.MNAC." &amp; RefVintage</f>
        <v>HU.T3.B9.S1312.MNAC.S.2021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0" t="s">
        <v>1153</v>
      </c>
      <c r="C12" s="427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59" t="str">
        <f>CountryCode &amp; ".T3.FA.S1312.MNAC." &amp; RefVintage</f>
        <v>HU.T3.FA.S1312.MNAC.S.2021</v>
      </c>
    </row>
    <row r="13" spans="1:50" s="18" customFormat="1" ht="16.5" customHeight="1">
      <c r="A13" s="340" t="s">
        <v>344</v>
      </c>
      <c r="B13" s="490" t="s">
        <v>1154</v>
      </c>
      <c r="C13" s="428" t="s">
        <v>62</v>
      </c>
      <c r="D13" s="109" t="s">
        <v>1232</v>
      </c>
      <c r="E13" s="109" t="s">
        <v>1232</v>
      </c>
      <c r="F13" s="109" t="s">
        <v>1232</v>
      </c>
      <c r="G13" s="109" t="s">
        <v>1232</v>
      </c>
      <c r="H13" s="108"/>
      <c r="I13" s="68"/>
      <c r="AX13" s="659" t="str">
        <f>CountryCode &amp; ".T3.F2.S1312.MNAC." &amp; RefVintage</f>
        <v>HU.T3.F2.S1312.MNAC.S.2021</v>
      </c>
    </row>
    <row r="14" spans="1:50" s="18" customFormat="1" ht="16.5" customHeight="1">
      <c r="A14" s="340" t="s">
        <v>345</v>
      </c>
      <c r="B14" s="490" t="s">
        <v>1155</v>
      </c>
      <c r="C14" s="428" t="s">
        <v>472</v>
      </c>
      <c r="D14" s="109" t="s">
        <v>1232</v>
      </c>
      <c r="E14" s="109" t="s">
        <v>1232</v>
      </c>
      <c r="F14" s="109" t="s">
        <v>1232</v>
      </c>
      <c r="G14" s="109" t="s">
        <v>1232</v>
      </c>
      <c r="H14" s="108"/>
      <c r="I14" s="68"/>
      <c r="AX14" s="659" t="str">
        <f>CountryCode &amp; ".T3.F3.S1312.MNAC." &amp; RefVintage</f>
        <v>HU.T3.F3.S1312.MNAC.S.2021</v>
      </c>
    </row>
    <row r="15" spans="1:50" s="18" customFormat="1" ht="16.5" customHeight="1">
      <c r="A15" s="340" t="s">
        <v>346</v>
      </c>
      <c r="B15" s="490" t="s">
        <v>1156</v>
      </c>
      <c r="C15" s="428" t="s">
        <v>37</v>
      </c>
      <c r="D15" s="109" t="s">
        <v>1232</v>
      </c>
      <c r="E15" s="109" t="s">
        <v>1232</v>
      </c>
      <c r="F15" s="109" t="s">
        <v>1232</v>
      </c>
      <c r="G15" s="109" t="s">
        <v>1232</v>
      </c>
      <c r="H15" s="108"/>
      <c r="I15" s="68"/>
      <c r="AX15" s="659" t="str">
        <f>CountryCode &amp; ".T3.F4.S1312.MNAC." &amp; RefVintage</f>
        <v>HU.T3.F4.S1312.MNAC.S.2021</v>
      </c>
    </row>
    <row r="16" spans="1:50" s="18" customFormat="1" ht="16.5" customHeight="1">
      <c r="A16" s="340" t="s">
        <v>347</v>
      </c>
      <c r="B16" s="490" t="s">
        <v>1157</v>
      </c>
      <c r="C16" s="429" t="s">
        <v>56</v>
      </c>
      <c r="D16" s="110" t="s">
        <v>1232</v>
      </c>
      <c r="E16" s="111" t="s">
        <v>1232</v>
      </c>
      <c r="F16" s="111" t="s">
        <v>1232</v>
      </c>
      <c r="G16" s="112" t="s">
        <v>1232</v>
      </c>
      <c r="H16" s="108"/>
      <c r="I16" s="68"/>
      <c r="AX16" s="659" t="str">
        <f>CountryCode &amp; ".T3.F4ACQ.S1312.MNAC." &amp; RefVintage</f>
        <v>HU.T3.F4ACQ.S1312.MNAC.S.2021</v>
      </c>
    </row>
    <row r="17" spans="1:50" s="18" customFormat="1" ht="16.5" customHeight="1">
      <c r="A17" s="340" t="s">
        <v>348</v>
      </c>
      <c r="B17" s="490" t="s">
        <v>1158</v>
      </c>
      <c r="C17" s="429" t="s">
        <v>57</v>
      </c>
      <c r="D17" s="113" t="s">
        <v>1232</v>
      </c>
      <c r="E17" s="114" t="s">
        <v>1232</v>
      </c>
      <c r="F17" s="114" t="s">
        <v>1232</v>
      </c>
      <c r="G17" s="115" t="s">
        <v>1232</v>
      </c>
      <c r="H17" s="108"/>
      <c r="I17" s="68"/>
      <c r="AX17" s="659" t="str">
        <f>CountryCode &amp; ".T3.F4DIS.S1312.MNAC." &amp; RefVintage</f>
        <v>HU.T3.F4DIS.S1312.MNAC.S.2021</v>
      </c>
    </row>
    <row r="18" spans="1:50" s="18" customFormat="1" ht="16.5" customHeight="1">
      <c r="A18" s="340" t="s">
        <v>349</v>
      </c>
      <c r="B18" s="490" t="s">
        <v>1159</v>
      </c>
      <c r="C18" s="430" t="s">
        <v>89</v>
      </c>
      <c r="D18" s="109" t="s">
        <v>1232</v>
      </c>
      <c r="E18" s="109" t="s">
        <v>1232</v>
      </c>
      <c r="F18" s="109" t="s">
        <v>1232</v>
      </c>
      <c r="G18" s="109" t="s">
        <v>1232</v>
      </c>
      <c r="H18" s="108"/>
      <c r="I18" s="68"/>
      <c r="AX18" s="659" t="str">
        <f>CountryCode &amp; ".T3.F41.S1312.MNAC." &amp; RefVintage</f>
        <v>HU.T3.F41.S1312.MNAC.S.2021</v>
      </c>
    </row>
    <row r="19" spans="1:50" s="18" customFormat="1" ht="16.5" customHeight="1">
      <c r="A19" s="340" t="s">
        <v>350</v>
      </c>
      <c r="B19" s="490" t="s">
        <v>1160</v>
      </c>
      <c r="C19" s="430" t="s">
        <v>84</v>
      </c>
      <c r="D19" s="109" t="s">
        <v>1232</v>
      </c>
      <c r="E19" s="109" t="s">
        <v>1232</v>
      </c>
      <c r="F19" s="109" t="s">
        <v>1232</v>
      </c>
      <c r="G19" s="109" t="s">
        <v>1232</v>
      </c>
      <c r="H19" s="108"/>
      <c r="I19" s="68"/>
      <c r="AX19" s="659" t="str">
        <f>CountryCode &amp; ".T3.F42.S1312.MNAC." &amp; RefVintage</f>
        <v>HU.T3.F42.S1312.MNAC.S.2021</v>
      </c>
    </row>
    <row r="20" spans="1:50" s="18" customFormat="1" ht="16.5" customHeight="1">
      <c r="A20" s="340" t="s">
        <v>351</v>
      </c>
      <c r="B20" s="490" t="s">
        <v>1161</v>
      </c>
      <c r="C20" s="431" t="s">
        <v>80</v>
      </c>
      <c r="D20" s="116" t="s">
        <v>1232</v>
      </c>
      <c r="E20" s="117" t="s">
        <v>1232</v>
      </c>
      <c r="F20" s="117" t="s">
        <v>1232</v>
      </c>
      <c r="G20" s="118" t="s">
        <v>1232</v>
      </c>
      <c r="H20" s="108"/>
      <c r="I20" s="68"/>
      <c r="AX20" s="659" t="str">
        <f>CountryCode &amp; ".T3.F42ACQ.S1312.MNAC." &amp; RefVintage</f>
        <v>HU.T3.F42ACQ.S1312.MNAC.S.2021</v>
      </c>
    </row>
    <row r="21" spans="1:50" s="18" customFormat="1" ht="16.5" customHeight="1">
      <c r="A21" s="340" t="s">
        <v>352</v>
      </c>
      <c r="B21" s="490" t="s">
        <v>1162</v>
      </c>
      <c r="C21" s="431" t="s">
        <v>81</v>
      </c>
      <c r="D21" s="119" t="s">
        <v>1232</v>
      </c>
      <c r="E21" s="120" t="s">
        <v>1232</v>
      </c>
      <c r="F21" s="120" t="s">
        <v>1232</v>
      </c>
      <c r="G21" s="121" t="s">
        <v>1232</v>
      </c>
      <c r="H21" s="108"/>
      <c r="I21" s="68"/>
      <c r="AX21" s="659" t="str">
        <f>CountryCode &amp; ".T3.F42DIS.S1312.MNAC." &amp; RefVintage</f>
        <v>HU.T3.F42DIS.S1312.MNAC.S.2021</v>
      </c>
    </row>
    <row r="22" spans="1:50" s="18" customFormat="1" ht="16.5" customHeight="1">
      <c r="A22" s="340" t="s">
        <v>353</v>
      </c>
      <c r="B22" s="490" t="s">
        <v>1163</v>
      </c>
      <c r="C22" s="428" t="s">
        <v>473</v>
      </c>
      <c r="D22" s="109" t="s">
        <v>1232</v>
      </c>
      <c r="E22" s="109" t="s">
        <v>1232</v>
      </c>
      <c r="F22" s="109" t="s">
        <v>1232</v>
      </c>
      <c r="G22" s="109" t="s">
        <v>1232</v>
      </c>
      <c r="H22" s="108"/>
      <c r="I22" s="68"/>
      <c r="AX22" s="659" t="str">
        <f>CountryCode &amp; ".T3.F5.S1312.MNAC." &amp; RefVintage</f>
        <v>HU.T3.F5.S1312.MNAC.S.2021</v>
      </c>
    </row>
    <row r="23" spans="1:50" s="18" customFormat="1" ht="16.5" customHeight="1">
      <c r="A23" s="340" t="s">
        <v>354</v>
      </c>
      <c r="B23" s="490" t="s">
        <v>1164</v>
      </c>
      <c r="C23" s="430" t="s">
        <v>96</v>
      </c>
      <c r="D23" s="109" t="s">
        <v>1232</v>
      </c>
      <c r="E23" s="109" t="s">
        <v>1232</v>
      </c>
      <c r="F23" s="109" t="s">
        <v>1232</v>
      </c>
      <c r="G23" s="109" t="s">
        <v>1232</v>
      </c>
      <c r="H23" s="108"/>
      <c r="I23" s="68"/>
      <c r="AX23" s="659" t="str">
        <f>CountryCode &amp; ".T3.F5PN.S1312.MNAC." &amp; RefVintage</f>
        <v>HU.T3.F5PN.S1312.MNAC.S.2021</v>
      </c>
    </row>
    <row r="24" spans="1:50" s="18" customFormat="1" ht="16.5" customHeight="1">
      <c r="A24" s="340" t="s">
        <v>355</v>
      </c>
      <c r="B24" s="490" t="s">
        <v>1165</v>
      </c>
      <c r="C24" s="430" t="s">
        <v>474</v>
      </c>
      <c r="D24" s="109" t="s">
        <v>1232</v>
      </c>
      <c r="E24" s="109" t="s">
        <v>1232</v>
      </c>
      <c r="F24" s="109" t="s">
        <v>1232</v>
      </c>
      <c r="G24" s="109" t="s">
        <v>1232</v>
      </c>
      <c r="H24" s="108"/>
      <c r="I24" s="68"/>
      <c r="AX24" s="659" t="str">
        <f>CountryCode &amp; ".T3.F5OP.S1312.MNAC." &amp; RefVintage</f>
        <v>HU.T3.F5OP.S1312.MNAC.S.2021</v>
      </c>
    </row>
    <row r="25" spans="1:50" s="18" customFormat="1" ht="16.5" customHeight="1">
      <c r="A25" s="340" t="s">
        <v>356</v>
      </c>
      <c r="B25" s="490" t="s">
        <v>1166</v>
      </c>
      <c r="C25" s="431" t="s">
        <v>85</v>
      </c>
      <c r="D25" s="122" t="s">
        <v>1232</v>
      </c>
      <c r="E25" s="123" t="s">
        <v>1232</v>
      </c>
      <c r="F25" s="123" t="s">
        <v>1232</v>
      </c>
      <c r="G25" s="124" t="s">
        <v>1232</v>
      </c>
      <c r="H25" s="108"/>
      <c r="I25" s="68"/>
      <c r="AX25" s="659" t="str">
        <f>CountryCode &amp; ".T3.F5OPACQ.S1312.MNAC." &amp; RefVintage</f>
        <v>HU.T3.F5OPACQ.S1312.MNAC.S.2021</v>
      </c>
    </row>
    <row r="26" spans="1:50" s="18" customFormat="1" ht="16.5" customHeight="1" thickBot="1">
      <c r="A26" s="340" t="s">
        <v>357</v>
      </c>
      <c r="B26" s="490" t="s">
        <v>1167</v>
      </c>
      <c r="C26" s="431" t="s">
        <v>86</v>
      </c>
      <c r="D26" s="122" t="s">
        <v>1232</v>
      </c>
      <c r="E26" s="123" t="s">
        <v>1232</v>
      </c>
      <c r="F26" s="123" t="s">
        <v>1232</v>
      </c>
      <c r="G26" s="124" t="s">
        <v>1232</v>
      </c>
      <c r="H26" s="108"/>
      <c r="I26" s="68"/>
      <c r="AX26" s="659" t="str">
        <f>CountryCode &amp; ".T3.F5OPDIS.S1312.MNAC." &amp; RefVintage</f>
        <v>HU.T3.F5OPDIS.S1312.MNAC.S.2021</v>
      </c>
    </row>
    <row r="27" spans="1:50" s="18" customFormat="1" ht="16.5" customHeight="1">
      <c r="A27" s="421" t="s">
        <v>498</v>
      </c>
      <c r="B27" s="490" t="s">
        <v>1168</v>
      </c>
      <c r="C27" s="428" t="s">
        <v>458</v>
      </c>
      <c r="D27" s="109" t="s">
        <v>1232</v>
      </c>
      <c r="E27" s="109" t="s">
        <v>1232</v>
      </c>
      <c r="F27" s="109" t="s">
        <v>1232</v>
      </c>
      <c r="G27" s="109" t="s">
        <v>1232</v>
      </c>
      <c r="H27" s="108"/>
      <c r="I27" s="68"/>
      <c r="AX27" s="659" t="str">
        <f>CountryCode &amp; ".T3.F71.S1312.MNAC." &amp; RefVintage</f>
        <v>HU.T3.F71.S1312.MNAC.S.2021</v>
      </c>
    </row>
    <row r="28" spans="1:50" s="18" customFormat="1" ht="16.5" customHeight="1" thickBot="1">
      <c r="A28" s="422" t="s">
        <v>499</v>
      </c>
      <c r="B28" s="490" t="s">
        <v>1169</v>
      </c>
      <c r="C28" s="428" t="s">
        <v>461</v>
      </c>
      <c r="D28" s="109" t="s">
        <v>1232</v>
      </c>
      <c r="E28" s="109" t="s">
        <v>1232</v>
      </c>
      <c r="F28" s="109" t="s">
        <v>1232</v>
      </c>
      <c r="G28" s="109" t="s">
        <v>1232</v>
      </c>
      <c r="H28" s="108"/>
      <c r="I28" s="68"/>
      <c r="AX28" s="659" t="str">
        <f>CountryCode &amp; ".T3.F8.S1312.MNAC." &amp; RefVintage</f>
        <v>HU.T3.F8.S1312.MNAC.S.2021</v>
      </c>
    </row>
    <row r="29" spans="1:50" s="18" customFormat="1" ht="16.5" customHeight="1">
      <c r="A29" s="340" t="s">
        <v>358</v>
      </c>
      <c r="B29" s="490" t="s">
        <v>1170</v>
      </c>
      <c r="C29" s="428" t="s">
        <v>464</v>
      </c>
      <c r="D29" s="109" t="s">
        <v>1232</v>
      </c>
      <c r="E29" s="109" t="s">
        <v>1232</v>
      </c>
      <c r="F29" s="109" t="s">
        <v>1232</v>
      </c>
      <c r="G29" s="109" t="s">
        <v>1232</v>
      </c>
      <c r="H29" s="108"/>
      <c r="I29" s="68"/>
      <c r="AX29" s="659" t="str">
        <f>CountryCode &amp; ".T3.OFA.S1312.MNAC." &amp; RefVintage</f>
        <v>HU.T3.OFA.S1312.MNAC.S.2021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359</v>
      </c>
      <c r="B31" s="490" t="s">
        <v>1171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HU.T3.ADJ.S1312.MNAC.S.2021</v>
      </c>
    </row>
    <row r="32" spans="1:50" s="18" customFormat="1" ht="16.5" customHeight="1" thickBot="1">
      <c r="A32" s="340" t="s">
        <v>360</v>
      </c>
      <c r="B32" s="490" t="s">
        <v>1172</v>
      </c>
      <c r="C32" s="428" t="s">
        <v>475</v>
      </c>
      <c r="D32" s="109" t="s">
        <v>1232</v>
      </c>
      <c r="E32" s="109" t="s">
        <v>1232</v>
      </c>
      <c r="F32" s="109" t="s">
        <v>1232</v>
      </c>
      <c r="G32" s="109" t="s">
        <v>1232</v>
      </c>
      <c r="H32" s="108"/>
      <c r="I32" s="68"/>
      <c r="AX32" s="659" t="str">
        <f>CountryCode &amp; ".T3.LIA.S1312.MNAC." &amp; RefVintage</f>
        <v>HU.T3.LIA.S1312.MNAC.S.2021</v>
      </c>
    </row>
    <row r="33" spans="1:50" s="18" customFormat="1" ht="16.5" customHeight="1" thickBot="1">
      <c r="A33" s="322" t="s">
        <v>503</v>
      </c>
      <c r="B33" s="490" t="s">
        <v>1173</v>
      </c>
      <c r="C33" s="428" t="s">
        <v>462</v>
      </c>
      <c r="D33" s="109" t="s">
        <v>1232</v>
      </c>
      <c r="E33" s="109" t="s">
        <v>1232</v>
      </c>
      <c r="F33" s="109" t="s">
        <v>1232</v>
      </c>
      <c r="G33" s="109" t="s">
        <v>1232</v>
      </c>
      <c r="H33" s="108"/>
      <c r="I33" s="68"/>
      <c r="AX33" s="659" t="str">
        <f>CountryCode &amp; ".T3.OAP.S1312.MNAC." &amp; RefVintage</f>
        <v>HU.T3.OAP.S1312.MNAC.S.2021</v>
      </c>
    </row>
    <row r="34" spans="1:50" s="18" customFormat="1" ht="16.5" customHeight="1">
      <c r="A34" s="340" t="s">
        <v>361</v>
      </c>
      <c r="B34" s="490" t="s">
        <v>1174</v>
      </c>
      <c r="C34" s="428" t="s">
        <v>476</v>
      </c>
      <c r="D34" s="109" t="s">
        <v>1232</v>
      </c>
      <c r="E34" s="109" t="s">
        <v>1232</v>
      </c>
      <c r="F34" s="109" t="s">
        <v>1232</v>
      </c>
      <c r="G34" s="109" t="s">
        <v>1232</v>
      </c>
      <c r="H34" s="108"/>
      <c r="I34" s="68"/>
      <c r="AX34" s="659" t="str">
        <f>CountryCode &amp; ".T3.OLIA.S1312.MNAC." &amp; RefVintage</f>
        <v>HU.T3.OLIA.S1312.MNAC.S.2021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362</v>
      </c>
      <c r="B36" s="490" t="s">
        <v>1175</v>
      </c>
      <c r="C36" s="428" t="s">
        <v>68</v>
      </c>
      <c r="D36" s="109" t="s">
        <v>1232</v>
      </c>
      <c r="E36" s="109" t="s">
        <v>1232</v>
      </c>
      <c r="F36" s="109" t="s">
        <v>1232</v>
      </c>
      <c r="G36" s="109" t="s">
        <v>1232</v>
      </c>
      <c r="H36" s="108"/>
      <c r="I36" s="68"/>
      <c r="AX36" s="659" t="str">
        <f>CountryCode &amp; ".T3.ISS_A.S1312.MNAC." &amp; RefVintage</f>
        <v>HU.T3.ISS_A.S1312.MNAC.S.2021</v>
      </c>
    </row>
    <row r="37" spans="1:50" s="18" customFormat="1" ht="16.5" customHeight="1">
      <c r="A37" s="340" t="s">
        <v>363</v>
      </c>
      <c r="B37" s="490" t="s">
        <v>1176</v>
      </c>
      <c r="C37" s="428" t="s">
        <v>477</v>
      </c>
      <c r="D37" s="109" t="s">
        <v>1232</v>
      </c>
      <c r="E37" s="109" t="s">
        <v>1232</v>
      </c>
      <c r="F37" s="109" t="s">
        <v>1232</v>
      </c>
      <c r="G37" s="109" t="s">
        <v>1232</v>
      </c>
      <c r="H37" s="108"/>
      <c r="I37" s="68"/>
      <c r="AX37" s="659" t="str">
        <f>CountryCode &amp; ".T3.D41_A.S1312.MNAC." &amp; RefVintage</f>
        <v>HU.T3.D41_A.S1312.MNAC.S.2021</v>
      </c>
    </row>
    <row r="38" spans="1:50" s="237" customFormat="1" ht="16.5" customHeight="1">
      <c r="A38" s="340" t="s">
        <v>364</v>
      </c>
      <c r="B38" s="490" t="s">
        <v>1177</v>
      </c>
      <c r="C38" s="435" t="s">
        <v>478</v>
      </c>
      <c r="D38" s="109" t="s">
        <v>1232</v>
      </c>
      <c r="E38" s="109" t="s">
        <v>1232</v>
      </c>
      <c r="F38" s="109" t="s">
        <v>1232</v>
      </c>
      <c r="G38" s="109" t="s">
        <v>1232</v>
      </c>
      <c r="H38" s="108"/>
      <c r="I38" s="68"/>
      <c r="AX38" s="659" t="str">
        <f>CountryCode &amp; ".T3.RED_A.S1312.MNAC." &amp; RefVintage</f>
        <v>HU.T3.RED_A.S1312.MNAC.S.2021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365</v>
      </c>
      <c r="B40" s="490" t="s">
        <v>1178</v>
      </c>
      <c r="C40" s="428" t="s">
        <v>97</v>
      </c>
      <c r="D40" s="109" t="s">
        <v>1232</v>
      </c>
      <c r="E40" s="109" t="s">
        <v>1232</v>
      </c>
      <c r="F40" s="109" t="s">
        <v>1232</v>
      </c>
      <c r="G40" s="109" t="s">
        <v>1232</v>
      </c>
      <c r="H40" s="108"/>
      <c r="I40" s="68"/>
      <c r="AX40" s="659" t="str">
        <f>CountryCode &amp; ".T3.FREV_A.S1312.MNAC." &amp; RefVintage</f>
        <v>HU.T3.FREV_A.S1312.MNAC.S.2021</v>
      </c>
    </row>
    <row r="41" spans="1:50" s="18" customFormat="1" ht="16.5" customHeight="1">
      <c r="A41" s="340" t="s">
        <v>521</v>
      </c>
      <c r="B41" s="490" t="s">
        <v>1179</v>
      </c>
      <c r="C41" s="428" t="s">
        <v>479</v>
      </c>
      <c r="D41" s="109" t="s">
        <v>1232</v>
      </c>
      <c r="E41" s="109" t="s">
        <v>1232</v>
      </c>
      <c r="F41" s="109" t="s">
        <v>1232</v>
      </c>
      <c r="G41" s="109" t="s">
        <v>1232</v>
      </c>
      <c r="H41" s="108"/>
      <c r="I41" s="68"/>
      <c r="AX41" s="659" t="str">
        <f>CountryCode &amp; ".T3.K61.S1312.MNAC." &amp; RefVintage</f>
        <v>HU.T3.K61.S1312.MNAC.S.2021</v>
      </c>
    </row>
    <row r="42" spans="1:50" s="18" customFormat="1" ht="16.5" customHeight="1">
      <c r="A42" s="340" t="s">
        <v>366</v>
      </c>
      <c r="B42" s="490" t="s">
        <v>1180</v>
      </c>
      <c r="C42" s="428" t="s">
        <v>480</v>
      </c>
      <c r="D42" s="109" t="s">
        <v>1232</v>
      </c>
      <c r="E42" s="109" t="s">
        <v>1232</v>
      </c>
      <c r="F42" s="109" t="s">
        <v>1232</v>
      </c>
      <c r="G42" s="109" t="s">
        <v>1232</v>
      </c>
      <c r="H42" s="108"/>
      <c r="I42" s="68"/>
      <c r="AX42" s="659" t="str">
        <f>CountryCode &amp; ".T3.OCVO_A.S1312.MNAC." &amp; RefVintage</f>
        <v>HU.T3.OCVO_A.S1312.MNAC.S.2021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367</v>
      </c>
      <c r="B44" s="490" t="s">
        <v>1181</v>
      </c>
      <c r="C44" s="433" t="s">
        <v>65</v>
      </c>
      <c r="D44" s="109" t="s">
        <v>1232</v>
      </c>
      <c r="E44" s="109" t="s">
        <v>1232</v>
      </c>
      <c r="F44" s="109" t="s">
        <v>1232</v>
      </c>
      <c r="G44" s="109" t="s">
        <v>1232</v>
      </c>
      <c r="H44" s="108"/>
      <c r="I44" s="68"/>
      <c r="AX44" s="659" t="str">
        <f>CountryCode &amp; ".T3.SD.S1312.MNAC." &amp; RefVintage</f>
        <v>HU.T3.SD.S1312.MNAC.S.2021</v>
      </c>
    </row>
    <row r="45" spans="1:50" s="18" customFormat="1" ht="16.5" customHeight="1">
      <c r="A45" s="340" t="s">
        <v>368</v>
      </c>
      <c r="B45" s="490" t="s">
        <v>1182</v>
      </c>
      <c r="C45" s="428" t="s">
        <v>75</v>
      </c>
      <c r="D45" s="109" t="s">
        <v>1232</v>
      </c>
      <c r="E45" s="109" t="s">
        <v>1232</v>
      </c>
      <c r="F45" s="109" t="s">
        <v>1232</v>
      </c>
      <c r="G45" s="109" t="s">
        <v>1232</v>
      </c>
      <c r="H45" s="108"/>
      <c r="I45" s="68"/>
      <c r="AX45" s="659" t="str">
        <f>CountryCode &amp; ".T3.B9_SD.S1312.MNAC." &amp; RefVintage</f>
        <v>HU.T3.B9_SD.S1312.MNAC.S.2021</v>
      </c>
    </row>
    <row r="46" spans="1:50" s="18" customFormat="1" ht="16.5" customHeight="1">
      <c r="A46" s="340" t="s">
        <v>369</v>
      </c>
      <c r="B46" s="490" t="s">
        <v>1183</v>
      </c>
      <c r="C46" s="428" t="s">
        <v>64</v>
      </c>
      <c r="D46" s="109" t="s">
        <v>1232</v>
      </c>
      <c r="E46" s="109" t="s">
        <v>1232</v>
      </c>
      <c r="F46" s="109" t="s">
        <v>1232</v>
      </c>
      <c r="G46" s="109" t="s">
        <v>1232</v>
      </c>
      <c r="H46" s="108"/>
      <c r="I46" s="68"/>
      <c r="AX46" s="659" t="str">
        <f>CountryCode &amp; ".T3.OSD.S1312.MNAC." &amp; RefVintage</f>
        <v>HU.T3.OSD.S1312.MNAC.S.2021</v>
      </c>
    </row>
    <row r="47" spans="1:50" s="18" customFormat="1" ht="13.5" customHeight="1" thickBot="1">
      <c r="A47" s="282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370</v>
      </c>
      <c r="B48" s="490" t="s">
        <v>1184</v>
      </c>
      <c r="C48" s="374" t="s">
        <v>105</v>
      </c>
      <c r="D48" s="94" t="s">
        <v>1232</v>
      </c>
      <c r="E48" s="94" t="s">
        <v>1232</v>
      </c>
      <c r="F48" s="94" t="s">
        <v>1232</v>
      </c>
      <c r="G48" s="95" t="s">
        <v>1232</v>
      </c>
      <c r="H48" s="6"/>
      <c r="I48" s="68"/>
      <c r="AX48" s="659" t="str">
        <f>CountryCode &amp; ".T3.CHDEBT.S1312.MNAC." &amp; RefVintage</f>
        <v>HU.T3.CHDEBT.S1312.MNAC.S.2021</v>
      </c>
    </row>
    <row r="49" spans="1:50" ht="9" customHeight="1" thickTop="1" thickBot="1">
      <c r="A49" s="282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371</v>
      </c>
      <c r="B51" s="490" t="s">
        <v>1185</v>
      </c>
      <c r="C51" s="374" t="s">
        <v>106</v>
      </c>
      <c r="D51" s="91" t="s">
        <v>1232</v>
      </c>
      <c r="E51" s="91" t="s">
        <v>1232</v>
      </c>
      <c r="F51" s="91" t="s">
        <v>1232</v>
      </c>
      <c r="G51" s="92" t="s">
        <v>1232</v>
      </c>
      <c r="H51" s="4"/>
      <c r="I51" s="52"/>
      <c r="AX51" s="658" t="str">
        <f>CountryCode &amp; ".T3.CTDEBT.S1312.MNAC." &amp; RefVintage</f>
        <v>HU.T3.CTDEBT.S1312.MNAC.S.2021</v>
      </c>
    </row>
    <row r="52" spans="1:50" ht="15.6" thickTop="1">
      <c r="A52" s="340" t="s">
        <v>372</v>
      </c>
      <c r="B52" s="490" t="s">
        <v>1186</v>
      </c>
      <c r="C52" s="428" t="s">
        <v>108</v>
      </c>
      <c r="D52" s="109" t="s">
        <v>1232</v>
      </c>
      <c r="E52" s="109" t="s">
        <v>1232</v>
      </c>
      <c r="F52" s="109" t="s">
        <v>1232</v>
      </c>
      <c r="G52" s="109" t="s">
        <v>1232</v>
      </c>
      <c r="H52" s="108"/>
      <c r="I52" s="52"/>
      <c r="AX52" s="658" t="str">
        <f>CountryCode &amp; ".T3.DEBT.S1312.MNAC." &amp; RefVintage</f>
        <v>HU.T3.DEBT.S1312.MNAC.S.2021</v>
      </c>
    </row>
    <row r="53" spans="1:50">
      <c r="A53" s="340" t="s">
        <v>373</v>
      </c>
      <c r="B53" s="490" t="s">
        <v>1187</v>
      </c>
      <c r="C53" s="446" t="s">
        <v>109</v>
      </c>
      <c r="D53" s="153" t="s">
        <v>1232</v>
      </c>
      <c r="E53" s="153" t="s">
        <v>1232</v>
      </c>
      <c r="F53" s="153" t="s">
        <v>1232</v>
      </c>
      <c r="G53" s="153" t="s">
        <v>1232</v>
      </c>
      <c r="H53" s="154"/>
      <c r="I53" s="52"/>
      <c r="AX53" s="658" t="str">
        <f>CountryCode &amp; ".T3.HOLD.S1312.MNAC." &amp; RefVintage</f>
        <v>HU.T3.HOLD.S1312.MNAC.S.2021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6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37"/>
      <c r="I67" s="244"/>
      <c r="J67" s="29"/>
    </row>
    <row r="68" spans="3:10" ht="15.6">
      <c r="C68" s="439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6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3" colorId="22" zoomScale="80" zoomScaleNormal="80" zoomScaleSheetLayoutView="80" workbookViewId="0">
      <selection activeCell="H34" sqref="H34"/>
    </sheetView>
  </sheetViews>
  <sheetFormatPr defaultColWidth="9.81640625" defaultRowHeight="15"/>
  <cols>
    <col min="1" max="1" width="46.36328125" style="30" hidden="1" customWidth="1"/>
    <col min="2" max="2" width="41" style="20" bestFit="1" customWidth="1"/>
    <col min="3" max="3" width="68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8.179687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798</v>
      </c>
      <c r="D2" s="271"/>
      <c r="E2" s="333"/>
      <c r="F2" s="333"/>
      <c r="G2" s="333"/>
      <c r="K2" s="13"/>
      <c r="N2" s="679" t="s">
        <v>1229</v>
      </c>
    </row>
    <row r="3" spans="1:50" ht="17.399999999999999">
      <c r="B3" s="30"/>
      <c r="C3" s="343" t="s">
        <v>60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1231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11/10/2021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374</v>
      </c>
      <c r="B10" s="490" t="s">
        <v>1116</v>
      </c>
      <c r="C10" s="374" t="s">
        <v>777</v>
      </c>
      <c r="D10" s="91">
        <v>-20538.081457999884</v>
      </c>
      <c r="E10" s="91">
        <v>-29926</v>
      </c>
      <c r="F10" s="91">
        <v>42660.740166999996</v>
      </c>
      <c r="G10" s="92">
        <v>-26806.03418999381</v>
      </c>
      <c r="H10" s="4"/>
      <c r="I10" s="52"/>
      <c r="AX10" s="658" t="str">
        <f>CountryCode &amp; ".T3.B9.S1313.MNAC." &amp; RefVintage</f>
        <v>HU.T3.B9.S1313.MNAC.S.2021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0" t="s">
        <v>1117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576016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325225</v>
      </c>
      <c r="F12" s="259">
        <f t="shared" si="0"/>
        <v>33193</v>
      </c>
      <c r="G12" s="259">
        <f t="shared" si="0"/>
        <v>-119549.00000000001</v>
      </c>
      <c r="H12" s="108"/>
      <c r="I12" s="68"/>
      <c r="AX12" s="659" t="str">
        <f>CountryCode &amp; ".T3.FA.S1313.MNAC." &amp; RefVintage</f>
        <v>HU.T3.FA.S1313.MNAC.S.2021</v>
      </c>
    </row>
    <row r="13" spans="1:50" s="18" customFormat="1" ht="16.5" customHeight="1">
      <c r="A13" s="340" t="s">
        <v>376</v>
      </c>
      <c r="B13" s="490" t="s">
        <v>1118</v>
      </c>
      <c r="C13" s="428" t="s">
        <v>62</v>
      </c>
      <c r="D13" s="109">
        <v>413524</v>
      </c>
      <c r="E13" s="109">
        <v>278197</v>
      </c>
      <c r="F13" s="109">
        <v>-13243</v>
      </c>
      <c r="G13" s="109">
        <v>-17453</v>
      </c>
      <c r="H13" s="108"/>
      <c r="I13" s="68"/>
      <c r="AX13" s="659" t="str">
        <f>CountryCode &amp; ".T3.F2.S1313.MNAC." &amp; RefVintage</f>
        <v>HU.T3.F2.S1313.MNAC.S.2021</v>
      </c>
    </row>
    <row r="14" spans="1:50" s="18" customFormat="1" ht="16.5" customHeight="1">
      <c r="A14" s="340" t="s">
        <v>377</v>
      </c>
      <c r="B14" s="490" t="s">
        <v>1119</v>
      </c>
      <c r="C14" s="428" t="s">
        <v>472</v>
      </c>
      <c r="D14" s="109">
        <v>120252</v>
      </c>
      <c r="E14" s="109">
        <v>21302.000000000007</v>
      </c>
      <c r="F14" s="109">
        <v>5490.0000000000018</v>
      </c>
      <c r="G14" s="109">
        <v>-90258.000000000015</v>
      </c>
      <c r="H14" s="108"/>
      <c r="I14" s="68"/>
      <c r="AX14" s="659" t="str">
        <f>CountryCode &amp; ".T3.F3.S1313.MNAC." &amp; RefVintage</f>
        <v>HU.T3.F3.S1313.MNAC.S.2021</v>
      </c>
    </row>
    <row r="15" spans="1:50" s="18" customFormat="1" ht="16.5" customHeight="1">
      <c r="A15" s="340" t="s">
        <v>378</v>
      </c>
      <c r="B15" s="490" t="s">
        <v>1120</v>
      </c>
      <c r="C15" s="428" t="s">
        <v>37</v>
      </c>
      <c r="D15" s="109">
        <v>579</v>
      </c>
      <c r="E15" s="109">
        <v>-2838</v>
      </c>
      <c r="F15" s="109">
        <v>1746</v>
      </c>
      <c r="G15" s="109">
        <v>2535</v>
      </c>
      <c r="H15" s="108"/>
      <c r="I15" s="68"/>
      <c r="AX15" s="659" t="str">
        <f>CountryCode &amp; ".T3.F4.S1313.MNAC." &amp; RefVintage</f>
        <v>HU.T3.F4.S1313.MNAC.S.2021</v>
      </c>
    </row>
    <row r="16" spans="1:50" s="18" customFormat="1" ht="16.5" customHeight="1">
      <c r="A16" s="340" t="s">
        <v>379</v>
      </c>
      <c r="B16" s="490" t="s">
        <v>1121</v>
      </c>
      <c r="C16" s="429" t="s">
        <v>56</v>
      </c>
      <c r="D16" s="110">
        <v>10142.471319</v>
      </c>
      <c r="E16" s="111">
        <v>9883</v>
      </c>
      <c r="F16" s="111">
        <v>11281</v>
      </c>
      <c r="G16" s="112">
        <v>25288</v>
      </c>
      <c r="H16" s="108"/>
      <c r="I16" s="68"/>
      <c r="AX16" s="659" t="str">
        <f>CountryCode &amp; ".T3.F4ACQ.S1313.MNAC." &amp; RefVintage</f>
        <v>HU.T3.F4ACQ.S1313.MNAC.S.2021</v>
      </c>
    </row>
    <row r="17" spans="1:50" s="18" customFormat="1" ht="16.5" customHeight="1">
      <c r="A17" s="340" t="s">
        <v>380</v>
      </c>
      <c r="B17" s="490" t="s">
        <v>1122</v>
      </c>
      <c r="C17" s="429" t="s">
        <v>57</v>
      </c>
      <c r="D17" s="113">
        <v>-9563.4713190000002</v>
      </c>
      <c r="E17" s="114">
        <v>-12721</v>
      </c>
      <c r="F17" s="114">
        <v>-9535</v>
      </c>
      <c r="G17" s="115">
        <v>-22753</v>
      </c>
      <c r="H17" s="108"/>
      <c r="I17" s="68"/>
      <c r="AX17" s="659" t="str">
        <f>CountryCode &amp; ".T3.F4DIS.S1313.MNAC." &amp; RefVintage</f>
        <v>HU.T3.F4DIS.S1313.MNAC.S.2021</v>
      </c>
    </row>
    <row r="18" spans="1:50" s="18" customFormat="1" ht="16.5" customHeight="1">
      <c r="A18" s="340" t="s">
        <v>381</v>
      </c>
      <c r="B18" s="490" t="s">
        <v>1123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HU.T3.F41.S1313.MNAC.S.2021</v>
      </c>
    </row>
    <row r="19" spans="1:50" s="18" customFormat="1" ht="16.5" customHeight="1">
      <c r="A19" s="340" t="s">
        <v>382</v>
      </c>
      <c r="B19" s="490" t="s">
        <v>1124</v>
      </c>
      <c r="C19" s="430" t="s">
        <v>84</v>
      </c>
      <c r="D19" s="109">
        <v>579</v>
      </c>
      <c r="E19" s="109">
        <v>-2838</v>
      </c>
      <c r="F19" s="109">
        <v>1746</v>
      </c>
      <c r="G19" s="109">
        <v>2535</v>
      </c>
      <c r="H19" s="108"/>
      <c r="I19" s="68"/>
      <c r="AX19" s="659" t="str">
        <f>CountryCode &amp; ".T3.F42.S1313.MNAC." &amp; RefVintage</f>
        <v>HU.T3.F42.S1313.MNAC.S.2021</v>
      </c>
    </row>
    <row r="20" spans="1:50" s="18" customFormat="1" ht="16.5" customHeight="1">
      <c r="A20" s="340" t="s">
        <v>383</v>
      </c>
      <c r="B20" s="490" t="s">
        <v>1125</v>
      </c>
      <c r="C20" s="431" t="s">
        <v>80</v>
      </c>
      <c r="D20" s="116">
        <v>10142.471319</v>
      </c>
      <c r="E20" s="117">
        <v>9883</v>
      </c>
      <c r="F20" s="117">
        <v>11281</v>
      </c>
      <c r="G20" s="118">
        <v>25288</v>
      </c>
      <c r="H20" s="108"/>
      <c r="I20" s="68"/>
      <c r="AX20" s="659" t="str">
        <f>CountryCode &amp; ".T3.F42ACQ.S1313.MNAC." &amp; RefVintage</f>
        <v>HU.T3.F42ACQ.S1313.MNAC.S.2021</v>
      </c>
    </row>
    <row r="21" spans="1:50" s="18" customFormat="1" ht="16.5" customHeight="1">
      <c r="A21" s="340" t="s">
        <v>384</v>
      </c>
      <c r="B21" s="490" t="s">
        <v>1126</v>
      </c>
      <c r="C21" s="431" t="s">
        <v>81</v>
      </c>
      <c r="D21" s="119">
        <v>-9563.4713190000002</v>
      </c>
      <c r="E21" s="120">
        <v>-12721</v>
      </c>
      <c r="F21" s="120">
        <v>-9535</v>
      </c>
      <c r="G21" s="121">
        <v>-22753</v>
      </c>
      <c r="H21" s="108"/>
      <c r="I21" s="68"/>
      <c r="AX21" s="659" t="str">
        <f>CountryCode &amp; ".T3.F42DIS.S1313.MNAC." &amp; RefVintage</f>
        <v>HU.T3.F42DIS.S1313.MNAC.S.2021</v>
      </c>
    </row>
    <row r="22" spans="1:50" s="18" customFormat="1" ht="16.5" customHeight="1">
      <c r="A22" s="340" t="s">
        <v>385</v>
      </c>
      <c r="B22" s="490" t="s">
        <v>1127</v>
      </c>
      <c r="C22" s="428" t="s">
        <v>473</v>
      </c>
      <c r="D22" s="109">
        <v>11700</v>
      </c>
      <c r="E22" s="109">
        <v>-3911</v>
      </c>
      <c r="F22" s="109">
        <v>4830</v>
      </c>
      <c r="G22" s="109">
        <v>2393</v>
      </c>
      <c r="H22" s="108"/>
      <c r="I22" s="68"/>
      <c r="AX22" s="659" t="str">
        <f>CountryCode &amp; ".T3.F5.S1313.MNAC." &amp; RefVintage</f>
        <v>HU.T3.F5.S1313.MNAC.S.2021</v>
      </c>
    </row>
    <row r="23" spans="1:50" s="18" customFormat="1" ht="16.5" customHeight="1">
      <c r="A23" s="340" t="s">
        <v>386</v>
      </c>
      <c r="B23" s="490" t="s">
        <v>1128</v>
      </c>
      <c r="C23" s="430" t="s">
        <v>96</v>
      </c>
      <c r="D23" s="109">
        <v>13604</v>
      </c>
      <c r="E23" s="109">
        <v>-1700</v>
      </c>
      <c r="F23" s="109">
        <v>5905</v>
      </c>
      <c r="G23" s="109">
        <v>4069</v>
      </c>
      <c r="H23" s="108"/>
      <c r="I23" s="68"/>
      <c r="AX23" s="659" t="str">
        <f>CountryCode &amp; ".T3.F5PN.S1313.MNAC." &amp; RefVintage</f>
        <v>HU.T3.F5PN.S1313.MNAC.S.2021</v>
      </c>
    </row>
    <row r="24" spans="1:50" s="18" customFormat="1" ht="16.5" customHeight="1">
      <c r="A24" s="340" t="s">
        <v>387</v>
      </c>
      <c r="B24" s="490" t="s">
        <v>1129</v>
      </c>
      <c r="C24" s="430" t="s">
        <v>474</v>
      </c>
      <c r="D24" s="109">
        <v>-1904</v>
      </c>
      <c r="E24" s="109">
        <v>-2211</v>
      </c>
      <c r="F24" s="109">
        <v>-1075</v>
      </c>
      <c r="G24" s="109">
        <v>-1676</v>
      </c>
      <c r="H24" s="108"/>
      <c r="I24" s="68"/>
      <c r="AX24" s="659" t="str">
        <f>CountryCode &amp; ".T3.F5OP.S1313.MNAC." &amp; RefVintage</f>
        <v>HU.T3.F5OP.S1313.MNAC.S.2021</v>
      </c>
    </row>
    <row r="25" spans="1:50" s="18" customFormat="1" ht="16.5" customHeight="1">
      <c r="A25" s="340" t="s">
        <v>388</v>
      </c>
      <c r="B25" s="490" t="s">
        <v>1130</v>
      </c>
      <c r="C25" s="431" t="s">
        <v>85</v>
      </c>
      <c r="D25" s="122">
        <v>2059.9062659999981</v>
      </c>
      <c r="E25" s="123">
        <v>3598.9999999999995</v>
      </c>
      <c r="F25" s="123">
        <v>3238.0000000000009</v>
      </c>
      <c r="G25" s="124">
        <v>12365.36</v>
      </c>
      <c r="H25" s="108"/>
      <c r="I25" s="68"/>
      <c r="AX25" s="659" t="str">
        <f>CountryCode &amp; ".T3.F5OPACQ.S1313.MNAC." &amp; RefVintage</f>
        <v>HU.T3.F5OPACQ.S1313.MNAC.S.2021</v>
      </c>
    </row>
    <row r="26" spans="1:50" s="18" customFormat="1" ht="16.5" customHeight="1" thickBot="1">
      <c r="A26" s="340" t="s">
        <v>389</v>
      </c>
      <c r="B26" s="490" t="s">
        <v>1131</v>
      </c>
      <c r="C26" s="431" t="s">
        <v>86</v>
      </c>
      <c r="D26" s="122">
        <v>-3963.9062659999981</v>
      </c>
      <c r="E26" s="123">
        <v>-5810</v>
      </c>
      <c r="F26" s="123">
        <v>-4313.0000000000009</v>
      </c>
      <c r="G26" s="124">
        <v>-14041.36</v>
      </c>
      <c r="H26" s="108"/>
      <c r="I26" s="68"/>
      <c r="AX26" s="659" t="str">
        <f>CountryCode &amp; ".T3.F5OPDIS.S1313.MNAC." &amp; RefVintage</f>
        <v>HU.T3.F5OPDIS.S1313.MNAC.S.2021</v>
      </c>
    </row>
    <row r="27" spans="1:50" s="18" customFormat="1" ht="16.5" customHeight="1">
      <c r="A27" s="421" t="s">
        <v>496</v>
      </c>
      <c r="B27" s="490" t="s">
        <v>1132</v>
      </c>
      <c r="C27" s="428" t="s">
        <v>458</v>
      </c>
      <c r="D27" s="109">
        <v>0</v>
      </c>
      <c r="E27" s="109">
        <v>8</v>
      </c>
      <c r="F27" s="109">
        <v>0</v>
      </c>
      <c r="G27" s="109">
        <v>0</v>
      </c>
      <c r="H27" s="108"/>
      <c r="I27" s="68"/>
      <c r="AX27" s="659" t="str">
        <f>CountryCode &amp; ".T3.F71.S1313.MNAC." &amp; RefVintage</f>
        <v>HU.T3.F71.S1313.MNAC.S.2021</v>
      </c>
    </row>
    <row r="28" spans="1:50" s="18" customFormat="1" ht="16.5" customHeight="1" thickBot="1">
      <c r="A28" s="422" t="s">
        <v>497</v>
      </c>
      <c r="B28" s="490" t="s">
        <v>1133</v>
      </c>
      <c r="C28" s="428" t="s">
        <v>461</v>
      </c>
      <c r="D28" s="109">
        <v>29980</v>
      </c>
      <c r="E28" s="109">
        <v>32356</v>
      </c>
      <c r="F28" s="109">
        <v>33649</v>
      </c>
      <c r="G28" s="109">
        <v>-16805</v>
      </c>
      <c r="H28" s="108"/>
      <c r="I28" s="68"/>
      <c r="AX28" s="659" t="str">
        <f>CountryCode &amp; ".T3.F8.S1313.MNAC." &amp; RefVintage</f>
        <v>HU.T3.F8.S1313.MNAC.S.2021</v>
      </c>
    </row>
    <row r="29" spans="1:50" s="18" customFormat="1" ht="16.5" customHeight="1">
      <c r="A29" s="340" t="s">
        <v>390</v>
      </c>
      <c r="B29" s="490" t="s">
        <v>1134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39</v>
      </c>
      <c r="H29" s="108"/>
      <c r="I29" s="68"/>
      <c r="AX29" s="659" t="str">
        <f>CountryCode &amp; ".T3.OFA.S1313.MNAC." &amp; RefVintage</f>
        <v>HU.T3.OFA.S1313.MNAC.S.2021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391</v>
      </c>
      <c r="B31" s="490" t="s">
        <v>1135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-518356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-196172</v>
      </c>
      <c r="F31" s="436">
        <f t="shared" si="1"/>
        <v>31009</v>
      </c>
      <c r="G31" s="436">
        <f t="shared" si="1"/>
        <v>147180</v>
      </c>
      <c r="H31" s="108"/>
      <c r="I31" s="68"/>
      <c r="AX31" s="659" t="str">
        <f>CountryCode &amp; ".T3.ADJ.S1313.MNAC." &amp; RefVintage</f>
        <v>HU.T3.ADJ.S1313.MNAC.S.2021</v>
      </c>
    </row>
    <row r="32" spans="1:50" s="18" customFormat="1" ht="16.5" customHeight="1" thickBot="1">
      <c r="A32" s="340" t="s">
        <v>392</v>
      </c>
      <c r="B32" s="490" t="s">
        <v>1136</v>
      </c>
      <c r="C32" s="428" t="s">
        <v>475</v>
      </c>
      <c r="D32" s="109">
        <v>0</v>
      </c>
      <c r="E32" s="109">
        <v>9.0000000000000018</v>
      </c>
      <c r="F32" s="109">
        <v>0</v>
      </c>
      <c r="G32" s="109">
        <v>0</v>
      </c>
      <c r="H32" s="108"/>
      <c r="I32" s="68"/>
      <c r="AX32" s="659" t="str">
        <f>CountryCode &amp; ".T3.LIA.S1313.MNAC." &amp; RefVintage</f>
        <v>HU.T3.LIA.S1313.MNAC.S.2021</v>
      </c>
    </row>
    <row r="33" spans="1:50" s="18" customFormat="1" ht="16.5" customHeight="1" thickBot="1">
      <c r="A33" s="322" t="s">
        <v>504</v>
      </c>
      <c r="B33" s="490" t="s">
        <v>1137</v>
      </c>
      <c r="C33" s="428" t="s">
        <v>462</v>
      </c>
      <c r="D33" s="109">
        <v>-515366</v>
      </c>
      <c r="E33" s="109">
        <v>-196565</v>
      </c>
      <c r="F33" s="109">
        <v>30125</v>
      </c>
      <c r="G33" s="109">
        <v>148073</v>
      </c>
      <c r="H33" s="108"/>
      <c r="I33" s="68"/>
      <c r="AX33" s="659" t="str">
        <f>CountryCode &amp; ".T3.OAP.S1313.MNAC." &amp; RefVintage</f>
        <v>HU.T3.OAP.S1313.MNAC.S.2021</v>
      </c>
    </row>
    <row r="34" spans="1:50" s="18" customFormat="1" ht="16.5" customHeight="1">
      <c r="A34" s="340" t="s">
        <v>393</v>
      </c>
      <c r="B34" s="490" t="s">
        <v>1138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394</v>
      </c>
      <c r="B36" s="490" t="s">
        <v>1139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HU.T3.ISS_A.S1313.MNAC.S.2021</v>
      </c>
    </row>
    <row r="37" spans="1:50" s="18" customFormat="1" ht="16.5" customHeight="1">
      <c r="A37" s="340" t="s">
        <v>395</v>
      </c>
      <c r="B37" s="490" t="s">
        <v>1140</v>
      </c>
      <c r="C37" s="428" t="s">
        <v>477</v>
      </c>
      <c r="D37" s="109">
        <v>-68</v>
      </c>
      <c r="E37" s="109">
        <v>-88</v>
      </c>
      <c r="F37" s="109">
        <v>184</v>
      </c>
      <c r="G37" s="109">
        <v>-110</v>
      </c>
      <c r="H37" s="108"/>
      <c r="I37" s="68"/>
      <c r="AX37" s="659" t="str">
        <f>CountryCode &amp; ".T3.D41_A.S1313.MNAC." &amp; RefVintage</f>
        <v>HU.T3.D41_A.S1313.MNAC.S.2021</v>
      </c>
    </row>
    <row r="38" spans="1:50" s="237" customFormat="1" ht="16.5" customHeight="1">
      <c r="A38" s="340" t="s">
        <v>396</v>
      </c>
      <c r="B38" s="490" t="s">
        <v>1141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HU.T3.RED_A.S1313.MNAC.S.2021</v>
      </c>
    </row>
    <row r="39" spans="1:50" s="18" customFormat="1" ht="16.5" customHeight="1">
      <c r="A39" s="340"/>
      <c r="B39" s="167"/>
      <c r="C39" s="434"/>
      <c r="D39" s="128">
        <v>4.7748471843078732E-12</v>
      </c>
      <c r="E39" s="129">
        <v>-1.3073986337985843E-12</v>
      </c>
      <c r="F39" s="129">
        <v>2.5011104298755527E-12</v>
      </c>
      <c r="G39" s="130">
        <v>1.5802470443304628E-11</v>
      </c>
      <c r="H39" s="108"/>
      <c r="I39" s="68"/>
      <c r="AX39" s="659"/>
    </row>
    <row r="40" spans="1:50" s="18" customFormat="1" ht="16.5" customHeight="1">
      <c r="A40" s="340" t="s">
        <v>397</v>
      </c>
      <c r="B40" s="490" t="s">
        <v>1142</v>
      </c>
      <c r="C40" s="428" t="s">
        <v>97</v>
      </c>
      <c r="D40" s="109">
        <v>-565</v>
      </c>
      <c r="E40" s="109">
        <v>472</v>
      </c>
      <c r="F40" s="109">
        <v>700</v>
      </c>
      <c r="G40" s="109">
        <v>-782.99999999998545</v>
      </c>
      <c r="H40" s="108"/>
      <c r="I40" s="68"/>
      <c r="AX40" s="659" t="str">
        <f>CountryCode &amp; ".T3.FREV_A.S1313.MNAC." &amp; RefVintage</f>
        <v>HU.T3.FREV_A.S1313.MNAC.S.2021</v>
      </c>
    </row>
    <row r="41" spans="1:50" s="18" customFormat="1" ht="16.5" customHeight="1">
      <c r="A41" s="340" t="s">
        <v>523</v>
      </c>
      <c r="B41" s="490" t="s">
        <v>1143</v>
      </c>
      <c r="C41" s="428" t="s">
        <v>479</v>
      </c>
      <c r="D41" s="109">
        <v>-2357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HU.T3.K61.S1313.MNAC.S.2021</v>
      </c>
    </row>
    <row r="42" spans="1:50" s="18" customFormat="1" ht="16.5" customHeight="1">
      <c r="A42" s="340" t="s">
        <v>398</v>
      </c>
      <c r="B42" s="490" t="s">
        <v>1144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399</v>
      </c>
      <c r="B44" s="490" t="s">
        <v>1145</v>
      </c>
      <c r="C44" s="433" t="s">
        <v>65</v>
      </c>
      <c r="D44" s="109">
        <v>9259.0814579998842</v>
      </c>
      <c r="E44" s="109">
        <v>-27464</v>
      </c>
      <c r="F44" s="109">
        <v>-31268.740166999996</v>
      </c>
      <c r="G44" s="109">
        <v>-9240.9658100061788</v>
      </c>
      <c r="H44" s="108"/>
      <c r="I44" s="68"/>
      <c r="AX44" s="659" t="str">
        <f>CountryCode &amp; ".T3.SD.S1313.MNAC." &amp; RefVintage</f>
        <v>HU.T3.SD.S1313.MNAC.S.2021</v>
      </c>
    </row>
    <row r="45" spans="1:50" s="18" customFormat="1" ht="16.5" customHeight="1">
      <c r="A45" s="340" t="s">
        <v>400</v>
      </c>
      <c r="B45" s="490" t="s">
        <v>1146</v>
      </c>
      <c r="C45" s="428" t="s">
        <v>75</v>
      </c>
      <c r="D45" s="109">
        <v>9259.0814579998842</v>
      </c>
      <c r="E45" s="109">
        <v>-27464</v>
      </c>
      <c r="F45" s="109">
        <v>-31268.740166999996</v>
      </c>
      <c r="G45" s="109">
        <v>-9240.9658100061788</v>
      </c>
      <c r="H45" s="108"/>
      <c r="I45" s="68"/>
      <c r="AX45" s="659" t="str">
        <f>CountryCode &amp; ".T3.B9_SD.S1313.MNAC." &amp; RefVintage</f>
        <v>HU.T3.B9_SD.S1313.MNAC.S.2021</v>
      </c>
    </row>
    <row r="46" spans="1:50" s="18" customFormat="1" ht="16.5" customHeight="1">
      <c r="A46" s="340" t="s">
        <v>401</v>
      </c>
      <c r="B46" s="490" t="s">
        <v>1147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HU.T3.OSD.S1313.MNAC.S.2021</v>
      </c>
    </row>
    <row r="47" spans="1:50" ht="12.7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0" t="s">
        <v>1148</v>
      </c>
      <c r="C48" s="374" t="s">
        <v>112</v>
      </c>
      <c r="D48" s="94">
        <v>46381</v>
      </c>
      <c r="E48" s="94">
        <v>71663.000000000015</v>
      </c>
      <c r="F48" s="94">
        <v>75594</v>
      </c>
      <c r="G48" s="95">
        <v>-8415.9999999999964</v>
      </c>
      <c r="H48" s="6"/>
      <c r="I48" s="68"/>
      <c r="AX48" s="659" t="str">
        <f>CountryCode &amp; ".T3.CHDEBT.S1313.MNAC." &amp; RefVintage</f>
        <v>HU.T3.CHDEBT.S1313.MNAC.S.2021</v>
      </c>
    </row>
    <row r="49" spans="1:50" s="23" customFormat="1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7.399999999999999" thickTop="1" thickBot="1">
      <c r="A51" s="340" t="s">
        <v>403</v>
      </c>
      <c r="B51" s="490" t="s">
        <v>1149</v>
      </c>
      <c r="C51" s="374" t="s">
        <v>113</v>
      </c>
      <c r="D51" s="91">
        <v>-383470.00000000006</v>
      </c>
      <c r="E51" s="91">
        <v>-756895</v>
      </c>
      <c r="F51" s="91">
        <v>-646463</v>
      </c>
      <c r="G51" s="92">
        <v>-492264.00000000012</v>
      </c>
      <c r="H51" s="4"/>
      <c r="I51" s="52"/>
      <c r="AX51" s="658" t="str">
        <f>CountryCode &amp; ".T3.CTDEBT.S1313.MNAC." &amp; RefVintage</f>
        <v>HU.T3.CTDEBT.S1313.MNAC.S.2021</v>
      </c>
    </row>
    <row r="52" spans="1:50" s="23" customFormat="1" ht="15.6" thickTop="1">
      <c r="A52" s="340" t="s">
        <v>404</v>
      </c>
      <c r="B52" s="490" t="s">
        <v>1150</v>
      </c>
      <c r="C52" s="428" t="s">
        <v>114</v>
      </c>
      <c r="D52" s="109">
        <v>135863</v>
      </c>
      <c r="E52" s="109">
        <v>207526</v>
      </c>
      <c r="F52" s="109">
        <v>283120</v>
      </c>
      <c r="G52" s="109">
        <v>274704</v>
      </c>
      <c r="H52" s="108"/>
      <c r="I52" s="52"/>
      <c r="AX52" s="658" t="str">
        <f>CountryCode &amp; ".T3.DEBT.S1313.MNAC." &amp; RefVintage</f>
        <v>HU.T3.DEBT.S1313.MNAC.S.2021</v>
      </c>
    </row>
    <row r="53" spans="1:50" s="23" customFormat="1">
      <c r="A53" s="340" t="s">
        <v>405</v>
      </c>
      <c r="B53" s="490" t="s">
        <v>1151</v>
      </c>
      <c r="C53" s="446" t="s">
        <v>115</v>
      </c>
      <c r="D53" s="153">
        <v>519333.00000000006</v>
      </c>
      <c r="E53" s="153">
        <v>964421</v>
      </c>
      <c r="F53" s="153">
        <v>929583</v>
      </c>
      <c r="G53" s="153">
        <v>766968.00000000012</v>
      </c>
      <c r="H53" s="154"/>
      <c r="I53" s="52"/>
      <c r="AX53" s="658" t="str">
        <f>CountryCode &amp; ".T3.HOLD.S1313.MNAC." &amp; RefVintage</f>
        <v>HU.T3.HOLD.S1313.MNAC.S.2021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18.600000000000001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6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58"/>
    </row>
    <row r="59" spans="1:50" s="23" customFormat="1" ht="15.6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58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1.4551915228366852E-11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-7.2759576141834259E-12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-1.4551915228366852E-11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6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58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H37" sqref="H37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8.453125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9.632812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0.200000000000003">
      <c r="B2" s="30" t="s">
        <v>36</v>
      </c>
      <c r="C2" s="343" t="s">
        <v>799</v>
      </c>
      <c r="D2" s="271"/>
      <c r="E2" s="333"/>
      <c r="F2" s="333"/>
      <c r="G2" s="333"/>
      <c r="K2" s="13"/>
      <c r="N2" s="679" t="s">
        <v>1229</v>
      </c>
    </row>
    <row r="3" spans="1:50" ht="17.399999999999999">
      <c r="B3" s="30"/>
      <c r="C3" s="343" t="s">
        <v>59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1231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11/10/2021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406</v>
      </c>
      <c r="B10" s="490" t="s">
        <v>1080</v>
      </c>
      <c r="C10" s="374" t="s">
        <v>778</v>
      </c>
      <c r="D10" s="91">
        <v>35881.042337000254</v>
      </c>
      <c r="E10" s="91">
        <v>-76612.450634000008</v>
      </c>
      <c r="F10" s="91">
        <v>136626</v>
      </c>
      <c r="G10" s="92">
        <v>456203.30469699996</v>
      </c>
      <c r="H10" s="4"/>
      <c r="I10" s="52"/>
      <c r="AX10" s="658" t="str">
        <f>CountryCode &amp; ".T3.B9.S1314.MNAC." &amp; RefVintage</f>
        <v>HU.T3.B9.S1314.MNAC.S.2021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0" t="s">
        <v>1081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14782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15262</v>
      </c>
      <c r="F12" s="259">
        <f t="shared" si="0"/>
        <v>-10345</v>
      </c>
      <c r="G12" s="259">
        <f t="shared" si="0"/>
        <v>-24495</v>
      </c>
      <c r="H12" s="155"/>
      <c r="I12" s="68"/>
      <c r="AX12" s="659" t="str">
        <f>CountryCode &amp; ".T3.FA.S1314.MNAC." &amp; RefVintage</f>
        <v>HU.T3.FA.S1314.MNAC.S.2021</v>
      </c>
    </row>
    <row r="13" spans="1:50" s="18" customFormat="1" ht="16.5" customHeight="1">
      <c r="A13" s="340" t="s">
        <v>408</v>
      </c>
      <c r="B13" s="490" t="s">
        <v>1082</v>
      </c>
      <c r="C13" s="428" t="s">
        <v>62</v>
      </c>
      <c r="D13" s="109">
        <v>-4812</v>
      </c>
      <c r="E13" s="109">
        <v>-22</v>
      </c>
      <c r="F13" s="109">
        <v>-23314</v>
      </c>
      <c r="G13" s="109">
        <v>-141</v>
      </c>
      <c r="H13" s="108"/>
      <c r="I13" s="68"/>
      <c r="AX13" s="659" t="str">
        <f>CountryCode &amp; ".T3.F2.S1314.MNAC." &amp; RefVintage</f>
        <v>HU.T3.F2.S1314.MNAC.S.2021</v>
      </c>
    </row>
    <row r="14" spans="1:50" s="18" customFormat="1" ht="16.5" customHeight="1">
      <c r="A14" s="340" t="s">
        <v>409</v>
      </c>
      <c r="B14" s="490" t="s">
        <v>1083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HU.T3.F3.S1314.MNAC.S.2021</v>
      </c>
    </row>
    <row r="15" spans="1:50" s="18" customFormat="1" ht="16.5" customHeight="1">
      <c r="A15" s="340" t="s">
        <v>410</v>
      </c>
      <c r="B15" s="490" t="s">
        <v>1084</v>
      </c>
      <c r="C15" s="428" t="s">
        <v>37</v>
      </c>
      <c r="D15" s="109">
        <v>-36</v>
      </c>
      <c r="E15" s="109">
        <v>-98</v>
      </c>
      <c r="F15" s="109">
        <v>-14</v>
      </c>
      <c r="G15" s="109">
        <v>-2</v>
      </c>
      <c r="H15" s="108"/>
      <c r="I15" s="68"/>
      <c r="AX15" s="659" t="str">
        <f>CountryCode &amp; ".T3.F4.S1314.MNAC." &amp; RefVintage</f>
        <v>HU.T3.F4.S1314.MNAC.S.2021</v>
      </c>
    </row>
    <row r="16" spans="1:50" s="18" customFormat="1" ht="16.5" customHeight="1">
      <c r="A16" s="340" t="s">
        <v>411</v>
      </c>
      <c r="B16" s="490" t="s">
        <v>1085</v>
      </c>
      <c r="C16" s="429" t="s">
        <v>56</v>
      </c>
      <c r="D16" s="110">
        <v>20.414321000000001</v>
      </c>
      <c r="E16" s="111">
        <v>6</v>
      </c>
      <c r="F16" s="111">
        <v>2</v>
      </c>
      <c r="G16" s="112">
        <v>9</v>
      </c>
      <c r="H16" s="108"/>
      <c r="I16" s="68"/>
      <c r="AX16" s="659" t="str">
        <f>CountryCode &amp; ".T3.F4ACQ.S1314.MNAC." &amp; RefVintage</f>
        <v>HU.T3.F4ACQ.S1314.MNAC.S.2021</v>
      </c>
    </row>
    <row r="17" spans="1:50" s="18" customFormat="1" ht="16.5" customHeight="1">
      <c r="A17" s="340" t="s">
        <v>412</v>
      </c>
      <c r="B17" s="490" t="s">
        <v>1086</v>
      </c>
      <c r="C17" s="429" t="s">
        <v>57</v>
      </c>
      <c r="D17" s="113">
        <v>-56.414321000000001</v>
      </c>
      <c r="E17" s="114">
        <v>-104</v>
      </c>
      <c r="F17" s="114">
        <v>-16</v>
      </c>
      <c r="G17" s="115">
        <v>-11</v>
      </c>
      <c r="H17" s="108"/>
      <c r="I17" s="68"/>
      <c r="AX17" s="659" t="str">
        <f>CountryCode &amp; ".T3.F4DIS.S1314.MNAC." &amp; RefVintage</f>
        <v>HU.T3.F4DIS.S1314.MNAC.S.2021</v>
      </c>
    </row>
    <row r="18" spans="1:50" s="18" customFormat="1" ht="16.5" customHeight="1">
      <c r="A18" s="340" t="s">
        <v>413</v>
      </c>
      <c r="B18" s="490" t="s">
        <v>1087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HU.T3.F41.S1314.MNAC.S.2021</v>
      </c>
    </row>
    <row r="19" spans="1:50" s="18" customFormat="1" ht="16.5" customHeight="1">
      <c r="A19" s="340" t="s">
        <v>414</v>
      </c>
      <c r="B19" s="490" t="s">
        <v>1088</v>
      </c>
      <c r="C19" s="430" t="s">
        <v>84</v>
      </c>
      <c r="D19" s="109">
        <v>-36</v>
      </c>
      <c r="E19" s="109">
        <v>-98</v>
      </c>
      <c r="F19" s="109">
        <v>-14</v>
      </c>
      <c r="G19" s="109">
        <v>-2</v>
      </c>
      <c r="H19" s="108"/>
      <c r="I19" s="68"/>
      <c r="AX19" s="659" t="str">
        <f>CountryCode &amp; ".T3.F42.S1314.MNAC." &amp; RefVintage</f>
        <v>HU.T3.F42.S1314.MNAC.S.2021</v>
      </c>
    </row>
    <row r="20" spans="1:50" s="18" customFormat="1" ht="16.5" customHeight="1">
      <c r="A20" s="340" t="s">
        <v>415</v>
      </c>
      <c r="B20" s="490" t="s">
        <v>1089</v>
      </c>
      <c r="C20" s="431" t="s">
        <v>80</v>
      </c>
      <c r="D20" s="116">
        <v>20.414321000000001</v>
      </c>
      <c r="E20" s="117">
        <v>6</v>
      </c>
      <c r="F20" s="117">
        <v>2</v>
      </c>
      <c r="G20" s="118">
        <v>9</v>
      </c>
      <c r="H20" s="108"/>
      <c r="I20" s="68"/>
      <c r="AX20" s="659" t="str">
        <f>CountryCode &amp; ".T3.F42ACQ.S1314.MNAC." &amp; RefVintage</f>
        <v>HU.T3.F42ACQ.S1314.MNAC.S.2021</v>
      </c>
    </row>
    <row r="21" spans="1:50" s="18" customFormat="1" ht="16.5" customHeight="1">
      <c r="A21" s="340" t="s">
        <v>416</v>
      </c>
      <c r="B21" s="490" t="s">
        <v>1090</v>
      </c>
      <c r="C21" s="431" t="s">
        <v>81</v>
      </c>
      <c r="D21" s="119">
        <v>-56.414321000000001</v>
      </c>
      <c r="E21" s="120">
        <v>-104</v>
      </c>
      <c r="F21" s="120">
        <v>-16</v>
      </c>
      <c r="G21" s="121">
        <v>-11</v>
      </c>
      <c r="H21" s="108"/>
      <c r="I21" s="68"/>
      <c r="AX21" s="659" t="str">
        <f>CountryCode &amp; ".T3.F42DIS.S1314.MNAC." &amp; RefVintage</f>
        <v>HU.T3.F42DIS.S1314.MNAC.S.2021</v>
      </c>
    </row>
    <row r="22" spans="1:50" s="18" customFormat="1" ht="16.5" customHeight="1">
      <c r="A22" s="340" t="s">
        <v>417</v>
      </c>
      <c r="B22" s="490" t="s">
        <v>1091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HU.T3.F5.S1314.MNAC.S.2021</v>
      </c>
    </row>
    <row r="23" spans="1:50" s="18" customFormat="1" ht="16.5" customHeight="1">
      <c r="A23" s="340" t="s">
        <v>418</v>
      </c>
      <c r="B23" s="490" t="s">
        <v>1092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HU.T3.F5PN.S1314.MNAC.S.2021</v>
      </c>
    </row>
    <row r="24" spans="1:50" s="18" customFormat="1" ht="16.5" customHeight="1">
      <c r="A24" s="340" t="s">
        <v>419</v>
      </c>
      <c r="B24" s="490" t="s">
        <v>1093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HU.T3.F5OP.S1314.MNAC.S.2021</v>
      </c>
    </row>
    <row r="25" spans="1:50" s="18" customFormat="1" ht="16.5" customHeight="1">
      <c r="A25" s="340" t="s">
        <v>420</v>
      </c>
      <c r="B25" s="490" t="s">
        <v>1094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HU.T3.F5OPACQ.S1314.MNAC.S.2021</v>
      </c>
    </row>
    <row r="26" spans="1:50" s="18" customFormat="1" ht="16.5" customHeight="1" thickBot="1">
      <c r="A26" s="340" t="s">
        <v>421</v>
      </c>
      <c r="B26" s="490" t="s">
        <v>1095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HU.T3.F5OPDIS.S1314.MNAC.S.2021</v>
      </c>
    </row>
    <row r="27" spans="1:50" s="18" customFormat="1" ht="16.5" customHeight="1">
      <c r="A27" s="421" t="s">
        <v>494</v>
      </c>
      <c r="B27" s="490" t="s">
        <v>1096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HU.T3.F71.S1314.MNAC.S.2021</v>
      </c>
    </row>
    <row r="28" spans="1:50" s="18" customFormat="1" ht="16.5" customHeight="1" thickBot="1">
      <c r="A28" s="422" t="s">
        <v>495</v>
      </c>
      <c r="B28" s="490" t="s">
        <v>1097</v>
      </c>
      <c r="C28" s="428" t="s">
        <v>461</v>
      </c>
      <c r="D28" s="109">
        <v>19630</v>
      </c>
      <c r="E28" s="109">
        <v>15382</v>
      </c>
      <c r="F28" s="109">
        <v>12983</v>
      </c>
      <c r="G28" s="109">
        <v>-24352</v>
      </c>
      <c r="H28" s="108"/>
      <c r="I28" s="68"/>
      <c r="AX28" s="659" t="str">
        <f>CountryCode &amp; ".T3.F8.S1314.MNAC." &amp; RefVintage</f>
        <v>HU.T3.F8.S1314.MNAC.S.2021</v>
      </c>
    </row>
    <row r="29" spans="1:50" s="18" customFormat="1" ht="16.5" customHeight="1">
      <c r="A29" s="340" t="s">
        <v>422</v>
      </c>
      <c r="B29" s="490" t="s">
        <v>1098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423</v>
      </c>
      <c r="B31" s="490" t="s">
        <v>1099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274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1492</v>
      </c>
      <c r="F31" s="436">
        <f t="shared" si="1"/>
        <v>-1042</v>
      </c>
      <c r="G31" s="436">
        <f t="shared" si="1"/>
        <v>-770</v>
      </c>
      <c r="H31" s="108"/>
      <c r="I31" s="68"/>
      <c r="AX31" s="659" t="str">
        <f>CountryCode &amp; ".T3.ADJ.S1314.MNAC." &amp; RefVintage</f>
        <v>HU.T3.ADJ.S1314.MNAC.S.2021</v>
      </c>
    </row>
    <row r="32" spans="1:50" s="18" customFormat="1" ht="16.5" customHeight="1" thickBot="1">
      <c r="A32" s="340" t="s">
        <v>424</v>
      </c>
      <c r="B32" s="490" t="s">
        <v>1100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HU.T3.LIA.S1314.MNAC.S.2021</v>
      </c>
    </row>
    <row r="33" spans="1:50" s="18" customFormat="1" ht="16.5" customHeight="1" thickBot="1">
      <c r="A33" s="322" t="s">
        <v>505</v>
      </c>
      <c r="B33" s="490" t="s">
        <v>1101</v>
      </c>
      <c r="C33" s="428" t="s">
        <v>462</v>
      </c>
      <c r="D33" s="109">
        <v>274</v>
      </c>
      <c r="E33" s="109">
        <v>1492</v>
      </c>
      <c r="F33" s="109">
        <v>-1042</v>
      </c>
      <c r="G33" s="109">
        <v>-770</v>
      </c>
      <c r="H33" s="108"/>
      <c r="I33" s="68"/>
      <c r="AX33" s="659" t="str">
        <f>CountryCode &amp; ".T3.OAP.S1314.MNAC." &amp; RefVintage</f>
        <v>HU.T3.OAP.S1314.MNAC.S.2021</v>
      </c>
    </row>
    <row r="34" spans="1:50" s="18" customFormat="1" ht="16.5" customHeight="1">
      <c r="A34" s="340" t="s">
        <v>425</v>
      </c>
      <c r="B34" s="490" t="s">
        <v>1102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426</v>
      </c>
      <c r="B36" s="490" t="s">
        <v>1103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HU.T3.ISS_A.S1314.MNAC.S.2021</v>
      </c>
    </row>
    <row r="37" spans="1:50" s="18" customFormat="1" ht="16.5" customHeight="1">
      <c r="A37" s="340" t="s">
        <v>427</v>
      </c>
      <c r="B37" s="490" t="s">
        <v>1104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HU.T3.D41_A.S1314.MNAC.S.2021</v>
      </c>
    </row>
    <row r="38" spans="1:50" s="237" customFormat="1" ht="16.5" customHeight="1">
      <c r="A38" s="340" t="s">
        <v>428</v>
      </c>
      <c r="B38" s="490" t="s">
        <v>1105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HU.T3.RED_A.S1314.MNAC.S.2021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429</v>
      </c>
      <c r="B40" s="490" t="s">
        <v>1106</v>
      </c>
      <c r="C40" s="428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HU.T3.FREV_A.S1314.MNAC.S.2021</v>
      </c>
    </row>
    <row r="41" spans="1:50" s="18" customFormat="1" ht="16.5" customHeight="1">
      <c r="A41" s="340" t="s">
        <v>524</v>
      </c>
      <c r="B41" s="490" t="s">
        <v>1107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HU.T3.K61.S1314.MNAC.S.2021</v>
      </c>
    </row>
    <row r="42" spans="1:50" s="18" customFormat="1" ht="16.5" customHeight="1">
      <c r="A42" s="340" t="s">
        <v>430</v>
      </c>
      <c r="B42" s="490" t="s">
        <v>1108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431</v>
      </c>
      <c r="B44" s="490" t="s">
        <v>1109</v>
      </c>
      <c r="C44" s="433" t="s">
        <v>65</v>
      </c>
      <c r="D44" s="109">
        <v>-9210.0423370002463</v>
      </c>
      <c r="E44" s="109">
        <v>-1131.5493659999993</v>
      </c>
      <c r="F44" s="109">
        <v>1895.9999999999854</v>
      </c>
      <c r="G44" s="109">
        <v>-23.304696999955922</v>
      </c>
      <c r="H44" s="108"/>
      <c r="I44" s="68"/>
      <c r="AX44" s="659" t="str">
        <f>CountryCode &amp; ".T3.SD.S1314.MNAC." &amp; RefVintage</f>
        <v>HU.T3.SD.S1314.MNAC.S.2021</v>
      </c>
    </row>
    <row r="45" spans="1:50" s="18" customFormat="1" ht="16.5" customHeight="1">
      <c r="A45" s="340" t="s">
        <v>432</v>
      </c>
      <c r="B45" s="490" t="s">
        <v>1110</v>
      </c>
      <c r="C45" s="428" t="s">
        <v>75</v>
      </c>
      <c r="D45" s="109">
        <v>-9210.0423370002463</v>
      </c>
      <c r="E45" s="109">
        <v>-1131.5493659999993</v>
      </c>
      <c r="F45" s="109">
        <v>1895.9999999999854</v>
      </c>
      <c r="G45" s="109">
        <v>-23.304696999955922</v>
      </c>
      <c r="H45" s="108"/>
      <c r="I45" s="68"/>
      <c r="AX45" s="659" t="str">
        <f>CountryCode &amp; ".T3.B9_SD.S1314.MNAC." &amp; RefVintage</f>
        <v>HU.T3.B9_SD.S1314.MNAC.S.2021</v>
      </c>
    </row>
    <row r="46" spans="1:50" s="18" customFormat="1" ht="16.5" customHeight="1">
      <c r="A46" s="340" t="s">
        <v>433</v>
      </c>
      <c r="B46" s="490" t="s">
        <v>1111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HU.T3.OSD.S1314.MNAC.S.2021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434</v>
      </c>
      <c r="B48" s="490" t="s">
        <v>1112</v>
      </c>
      <c r="C48" s="374" t="s">
        <v>117</v>
      </c>
      <c r="D48" s="94">
        <v>41727.000000000007</v>
      </c>
      <c r="E48" s="94">
        <v>-60990.000000000007</v>
      </c>
      <c r="F48" s="94">
        <v>127134.99999999999</v>
      </c>
      <c r="G48" s="95">
        <v>430915</v>
      </c>
      <c r="H48" s="6"/>
      <c r="I48" s="68"/>
      <c r="AX48" s="659" t="str">
        <f>CountryCode &amp; ".T3.CHDEBT.S1314.MNAC." &amp; RefVintage</f>
        <v>HU.T3.CHDEBT.S1314.MNAC.S.2021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435</v>
      </c>
      <c r="B51" s="490" t="s">
        <v>1113</v>
      </c>
      <c r="C51" s="374" t="s">
        <v>118</v>
      </c>
      <c r="D51" s="91">
        <v>120133</v>
      </c>
      <c r="E51" s="91">
        <v>59164</v>
      </c>
      <c r="F51" s="91">
        <v>209613</v>
      </c>
      <c r="G51" s="92">
        <v>640669</v>
      </c>
      <c r="H51" s="4"/>
      <c r="I51" s="52"/>
      <c r="AX51" s="658" t="str">
        <f>CountryCode &amp; ".T3.CTDEBT.S1314.MNAC." &amp; RefVintage</f>
        <v>HU.T3.CTDEBT.S1314.MNAC.S.2021</v>
      </c>
    </row>
    <row r="52" spans="1:50" ht="15.6" thickTop="1">
      <c r="A52" s="340" t="s">
        <v>436</v>
      </c>
      <c r="B52" s="490" t="s">
        <v>1114</v>
      </c>
      <c r="C52" s="428" t="s">
        <v>119</v>
      </c>
      <c r="D52" s="109">
        <v>143733</v>
      </c>
      <c r="E52" s="109">
        <v>82743</v>
      </c>
      <c r="F52" s="109">
        <v>209878</v>
      </c>
      <c r="G52" s="109">
        <v>640793</v>
      </c>
      <c r="H52" s="108"/>
      <c r="I52" s="52"/>
      <c r="AX52" s="658" t="str">
        <f>CountryCode &amp; ".T3.DEBT.S1314.MNAC." &amp; RefVintage</f>
        <v>HU.T3.DEBT.S1314.MNAC.S.2021</v>
      </c>
    </row>
    <row r="53" spans="1:50">
      <c r="A53" s="340" t="s">
        <v>437</v>
      </c>
      <c r="B53" s="490" t="s">
        <v>1115</v>
      </c>
      <c r="C53" s="446" t="s">
        <v>120</v>
      </c>
      <c r="D53" s="153">
        <v>23600</v>
      </c>
      <c r="E53" s="153">
        <v>23579</v>
      </c>
      <c r="F53" s="153">
        <v>265</v>
      </c>
      <c r="G53" s="153">
        <v>124</v>
      </c>
      <c r="H53" s="154"/>
      <c r="I53" s="52"/>
      <c r="AX53" s="658" t="str">
        <f>CountryCode &amp; ".T3.HOLD.S1314.MNAC." &amp; RefVintage</f>
        <v>HU.T3.HOLD.S1314.MNAC.S.2021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6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6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58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="80" zoomScaleNormal="80" zoomScaleSheetLayoutView="80" workbookViewId="0">
      <selection activeCell="F34" sqref="F34"/>
    </sheetView>
  </sheetViews>
  <sheetFormatPr defaultColWidth="9.81640625" defaultRowHeight="15.6"/>
  <cols>
    <col min="1" max="1" width="24.08984375" style="257" hidden="1" customWidth="1"/>
    <col min="2" max="2" width="35.6328125" style="257" customWidth="1"/>
    <col min="3" max="3" width="10.36328125" style="13" customWidth="1"/>
    <col min="4" max="4" width="40.81640625" style="13" customWidth="1"/>
    <col min="5" max="5" width="20" style="13" customWidth="1"/>
    <col min="6" max="10" width="10.90625" style="13" customWidth="1"/>
    <col min="11" max="14" width="9.81640625" style="13"/>
    <col min="15" max="15" width="13.08984375" style="13" customWidth="1"/>
    <col min="16" max="16" width="9.36328125" style="13" customWidth="1"/>
    <col min="17" max="27" width="9.81640625" style="13"/>
    <col min="29" max="49" width="9.81640625" style="13"/>
    <col min="50" max="50" width="9.36328125" style="661" customWidth="1"/>
    <col min="51" max="16384" width="9.8164062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0.200000000000003">
      <c r="A2" s="599"/>
      <c r="B2" s="599"/>
      <c r="C2" s="601" t="s">
        <v>1</v>
      </c>
      <c r="D2" s="274"/>
      <c r="E2" s="602"/>
      <c r="F2" s="274"/>
      <c r="G2" s="274"/>
      <c r="H2" s="274"/>
      <c r="I2" s="274"/>
      <c r="J2" s="274"/>
      <c r="M2" s="600" t="s">
        <v>450</v>
      </c>
      <c r="N2" s="679" t="s">
        <v>1229</v>
      </c>
    </row>
    <row r="3" spans="1:50" ht="16.2" thickBot="1">
      <c r="A3" s="599"/>
      <c r="B3" s="599"/>
      <c r="C3" s="274"/>
      <c r="D3" s="274"/>
      <c r="E3" s="274"/>
      <c r="F3" s="274"/>
      <c r="G3" s="274"/>
      <c r="H3" s="274"/>
      <c r="I3" s="274"/>
      <c r="J3" s="274"/>
      <c r="M3" s="600" t="s">
        <v>451</v>
      </c>
      <c r="N3" s="681">
        <f>IF($N$2='Cover page'!$N$2,0,1)</f>
        <v>0</v>
      </c>
    </row>
    <row r="4" spans="1:50" ht="16.2" thickTop="1">
      <c r="A4" s="603"/>
      <c r="B4" s="604"/>
      <c r="C4" s="455"/>
      <c r="D4" s="278"/>
      <c r="E4" s="278"/>
      <c r="F4" s="278"/>
      <c r="G4" s="278"/>
      <c r="H4" s="278"/>
      <c r="I4" s="278"/>
      <c r="J4" s="278"/>
      <c r="K4" s="605"/>
    </row>
    <row r="5" spans="1:50" ht="18">
      <c r="A5" s="293"/>
      <c r="B5" s="606"/>
      <c r="C5" s="456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07"/>
      <c r="K5" s="608"/>
    </row>
    <row r="6" spans="1:50">
      <c r="A6" s="293"/>
      <c r="B6" s="513" t="s">
        <v>485</v>
      </c>
      <c r="C6" s="456"/>
      <c r="D6" s="405" t="s">
        <v>70</v>
      </c>
      <c r="E6" s="609"/>
      <c r="F6" s="354">
        <f>'Table 1'!E5</f>
        <v>2017</v>
      </c>
      <c r="G6" s="354">
        <f>'Table 1'!F5</f>
        <v>2018</v>
      </c>
      <c r="H6" s="354">
        <f>'Table 1'!G5</f>
        <v>2019</v>
      </c>
      <c r="I6" s="354">
        <f>'Table 1'!H5</f>
        <v>2020</v>
      </c>
      <c r="J6" s="354">
        <f>'Table 1'!I5</f>
        <v>2021</v>
      </c>
      <c r="K6" s="608"/>
    </row>
    <row r="7" spans="1:50">
      <c r="A7" s="293"/>
      <c r="B7" s="610"/>
      <c r="C7" s="456"/>
      <c r="D7" s="286" t="str">
        <f>'Cover page'!E14</f>
        <v>Date: 11/10/2021</v>
      </c>
      <c r="E7" s="611"/>
      <c r="F7" s="612" t="s">
        <v>451</v>
      </c>
      <c r="G7" s="612" t="s">
        <v>451</v>
      </c>
      <c r="H7" s="612" t="s">
        <v>450</v>
      </c>
      <c r="I7" s="612" t="s">
        <v>450</v>
      </c>
      <c r="J7" s="613" t="s">
        <v>459</v>
      </c>
      <c r="K7" s="608"/>
    </row>
    <row r="8" spans="1:50" ht="16.2" thickBot="1">
      <c r="A8" s="293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2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HU.T4.STATUS.S13.MNAC.S.2021</v>
      </c>
    </row>
    <row r="9" spans="1:50" ht="16.2" thickBot="1">
      <c r="A9" s="293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2" thickBot="1">
      <c r="A10" s="618" t="s">
        <v>511</v>
      </c>
      <c r="B10" s="595" t="s">
        <v>1188</v>
      </c>
      <c r="C10" s="458">
        <v>2</v>
      </c>
      <c r="D10" s="619" t="s">
        <v>482</v>
      </c>
      <c r="E10" s="620"/>
      <c r="F10" s="621">
        <v>682862</v>
      </c>
      <c r="G10" s="621">
        <v>728120</v>
      </c>
      <c r="H10" s="621">
        <v>807530</v>
      </c>
      <c r="I10" s="621">
        <v>758031</v>
      </c>
      <c r="J10" s="621" t="s">
        <v>667</v>
      </c>
      <c r="K10" s="608"/>
      <c r="AX10" s="661" t="str">
        <f>CountryCode &amp; ".T4.AF81L.S13.MNAC." &amp; RefVintage</f>
        <v>HU.T4.AF81L.S13.MNAC.S.2021</v>
      </c>
    </row>
    <row r="11" spans="1:50" ht="16.2" thickBot="1">
      <c r="A11" s="622"/>
      <c r="B11" s="623"/>
      <c r="C11" s="458"/>
      <c r="D11" s="274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93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93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93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1189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HU.T4.FPU.S13.MNAC.S.2021</v>
      </c>
    </row>
    <row r="17" spans="1:11">
      <c r="A17" s="293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93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93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93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93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93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93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93"/>
      <c r="B24" s="595"/>
      <c r="C24" s="198"/>
      <c r="F24" s="626"/>
      <c r="G24" s="626"/>
      <c r="H24" s="626"/>
      <c r="I24" s="626"/>
      <c r="J24" s="626"/>
      <c r="K24" s="608"/>
    </row>
    <row r="25" spans="1:11" ht="16.2" thickBot="1">
      <c r="A25" s="293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93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93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93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93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93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93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93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93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93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93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2" thickBot="1">
      <c r="A36" s="293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93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1190</v>
      </c>
      <c r="C38" s="458">
        <v>10</v>
      </c>
      <c r="D38" s="619" t="s">
        <v>46</v>
      </c>
      <c r="F38" s="621">
        <v>37692333</v>
      </c>
      <c r="G38" s="621">
        <v>41693069</v>
      </c>
      <c r="H38" s="621">
        <v>46280135</v>
      </c>
      <c r="I38" s="621">
        <v>46698665</v>
      </c>
      <c r="J38" s="621" t="s">
        <v>667</v>
      </c>
      <c r="K38" s="608"/>
      <c r="AX38" s="661" t="str">
        <f>CountryCode &amp; ".T4.GNI.S1.MNAC." &amp; RefVintage</f>
        <v>HU.T4.GNI.S1.MNAC.S.2021</v>
      </c>
    </row>
    <row r="39" spans="1:50">
      <c r="A39" s="293"/>
      <c r="B39" s="606"/>
      <c r="C39" s="630" t="s">
        <v>36</v>
      </c>
      <c r="K39" s="608"/>
    </row>
    <row r="40" spans="1:50">
      <c r="A40" s="293"/>
      <c r="B40" s="606"/>
      <c r="C40" s="630"/>
      <c r="D40" s="631" t="s">
        <v>30</v>
      </c>
      <c r="K40" s="608"/>
    </row>
    <row r="41" spans="1:50" ht="24.6">
      <c r="A41" s="293"/>
      <c r="B41" s="606"/>
      <c r="C41" s="199"/>
      <c r="D41" s="631" t="s">
        <v>69</v>
      </c>
      <c r="F41" s="632"/>
      <c r="K41" s="608"/>
    </row>
    <row r="42" spans="1:50" ht="16.2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2" thickTop="1"/>
    <row r="44" spans="1:50" ht="30" customHeight="1">
      <c r="C44" s="637" t="s">
        <v>122</v>
      </c>
      <c r="D44" s="638"/>
      <c r="E44" s="638"/>
      <c r="F44" s="696" t="str">
        <f>IF(COUNTA(F10:J10,F16:J16,F38:J38)/15*100=100,"OK - Table 4 is fully completed","WARNING - Table 4 is not fully completed, please fill in figure, L, M or 0")</f>
        <v>OK - Table 4 is fully completed</v>
      </c>
      <c r="G44" s="696"/>
      <c r="H44" s="696"/>
      <c r="I44" s="696"/>
      <c r="J44" s="697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90625" defaultRowHeight="15"/>
  <cols>
    <col min="1" max="1" width="19.36328125" style="521" customWidth="1"/>
    <col min="2" max="2" width="10.1796875" style="521" bestFit="1" customWidth="1"/>
    <col min="3" max="3" width="8.453125" style="521" bestFit="1" customWidth="1"/>
    <col min="4" max="4" width="16.36328125" style="521" bestFit="1" customWidth="1"/>
    <col min="5" max="5" width="12.08984375" style="521" bestFit="1" customWidth="1"/>
    <col min="6" max="6" width="20.81640625" style="521" customWidth="1"/>
    <col min="7" max="7" width="12.36328125" style="521" bestFit="1" customWidth="1"/>
    <col min="8" max="8" width="15.81640625" style="521" bestFit="1" customWidth="1"/>
    <col min="9" max="9" width="10.36328125" style="521" bestFit="1" customWidth="1"/>
    <col min="10" max="10" width="10.453125" style="521" bestFit="1" customWidth="1"/>
    <col min="11" max="11" width="7.90625" style="521" bestFit="1" customWidth="1"/>
    <col min="12" max="12" width="11" style="521" customWidth="1"/>
    <col min="13" max="13" width="6.08984375" style="521" bestFit="1" customWidth="1"/>
    <col min="14" max="15" width="15" style="521" bestFit="1" customWidth="1"/>
    <col min="16" max="16" width="11.90625" style="521" bestFit="1" customWidth="1"/>
    <col min="17" max="17" width="14.08984375" style="521" bestFit="1" customWidth="1"/>
    <col min="18" max="18" width="17.453125" style="521" bestFit="1" customWidth="1"/>
    <col min="19" max="23" width="8.08984375" style="521" customWidth="1"/>
    <col min="24" max="25" width="20.81640625" style="521" customWidth="1"/>
    <col min="26" max="26" width="7.6328125" style="521" bestFit="1" customWidth="1"/>
    <col min="27" max="27" width="8.453125" style="521" bestFit="1" customWidth="1"/>
    <col min="28" max="28" width="5.90625" style="521" bestFit="1" customWidth="1"/>
    <col min="29" max="52" width="20.81640625" style="521" customWidth="1"/>
    <col min="53" max="16384" width="8.90625" style="521"/>
  </cols>
  <sheetData>
    <row r="1" spans="1:52" ht="16.2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62" t="s">
        <v>560</v>
      </c>
      <c r="C2" s="763"/>
      <c r="D2" s="764"/>
      <c r="E2" s="523" t="s">
        <v>561</v>
      </c>
      <c r="F2" s="765">
        <v>6</v>
      </c>
      <c r="G2" s="766"/>
      <c r="H2" s="767"/>
      <c r="I2" s="768" t="s">
        <v>562</v>
      </c>
      <c r="J2" s="769"/>
      <c r="K2" s="769"/>
      <c r="L2" s="774" t="s">
        <v>563</v>
      </c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4"/>
      <c r="AH2" s="774"/>
      <c r="AI2" s="774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774"/>
      <c r="AW2" s="774"/>
      <c r="AX2" s="774"/>
      <c r="AY2" s="774"/>
      <c r="AZ2" s="775"/>
    </row>
    <row r="3" spans="1:52">
      <c r="A3" s="524" t="s">
        <v>564</v>
      </c>
      <c r="B3" s="776" t="s">
        <v>565</v>
      </c>
      <c r="C3" s="777"/>
      <c r="D3" s="778"/>
      <c r="E3" s="525" t="s">
        <v>566</v>
      </c>
      <c r="F3" s="716" t="s">
        <v>567</v>
      </c>
      <c r="G3" s="717"/>
      <c r="H3" s="718"/>
      <c r="I3" s="770"/>
      <c r="J3" s="771"/>
      <c r="K3" s="771"/>
      <c r="L3" s="737" t="s">
        <v>568</v>
      </c>
      <c r="M3" s="737"/>
      <c r="N3" s="737"/>
      <c r="O3" s="737"/>
      <c r="P3" s="737"/>
      <c r="Q3" s="737"/>
      <c r="R3" s="737"/>
      <c r="S3" s="737"/>
      <c r="T3" s="737"/>
      <c r="U3" s="737"/>
      <c r="V3" s="737"/>
      <c r="W3" s="737"/>
      <c r="X3" s="737"/>
      <c r="Y3" s="737"/>
      <c r="Z3" s="737"/>
      <c r="AA3" s="737"/>
      <c r="AB3" s="737"/>
      <c r="AC3" s="737"/>
      <c r="AD3" s="737"/>
      <c r="AE3" s="737"/>
      <c r="AF3" s="737"/>
      <c r="AG3" s="737"/>
      <c r="AH3" s="737"/>
      <c r="AI3" s="737"/>
      <c r="AJ3" s="737"/>
      <c r="AK3" s="737"/>
      <c r="AL3" s="737"/>
      <c r="AM3" s="737"/>
      <c r="AN3" s="737"/>
      <c r="AO3" s="737"/>
      <c r="AP3" s="737"/>
      <c r="AQ3" s="737"/>
      <c r="AR3" s="737"/>
      <c r="AS3" s="737"/>
      <c r="AT3" s="737"/>
      <c r="AU3" s="737"/>
      <c r="AV3" s="737"/>
      <c r="AW3" s="737"/>
      <c r="AX3" s="737"/>
      <c r="AY3" s="737"/>
      <c r="AZ3" s="738"/>
    </row>
    <row r="4" spans="1:52">
      <c r="A4" s="524" t="s">
        <v>569</v>
      </c>
      <c r="B4" s="779" t="s">
        <v>570</v>
      </c>
      <c r="C4" s="780"/>
      <c r="D4" s="781"/>
      <c r="E4" s="525"/>
      <c r="F4" s="782"/>
      <c r="G4" s="783"/>
      <c r="H4" s="784"/>
      <c r="I4" s="770"/>
      <c r="J4" s="771"/>
      <c r="K4" s="771"/>
      <c r="L4" s="737" t="s">
        <v>571</v>
      </c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  <c r="Y4" s="737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7"/>
      <c r="AW4" s="737"/>
      <c r="AX4" s="737"/>
      <c r="AY4" s="737"/>
      <c r="AZ4" s="738"/>
    </row>
    <row r="5" spans="1:52" ht="15.6" thickBot="1">
      <c r="A5" s="524" t="s">
        <v>572</v>
      </c>
      <c r="B5" s="742" t="s">
        <v>573</v>
      </c>
      <c r="C5" s="743"/>
      <c r="D5" s="744"/>
      <c r="E5" s="526" t="s">
        <v>574</v>
      </c>
      <c r="F5" s="701"/>
      <c r="G5" s="702"/>
      <c r="H5" s="703"/>
      <c r="I5" s="770"/>
      <c r="J5" s="771"/>
      <c r="K5" s="771"/>
      <c r="L5" s="748" t="s">
        <v>575</v>
      </c>
      <c r="M5" s="748"/>
      <c r="N5" s="748"/>
      <c r="O5" s="748"/>
      <c r="P5" s="748"/>
      <c r="Q5" s="748"/>
      <c r="R5" s="748"/>
      <c r="S5" s="748"/>
      <c r="T5" s="748"/>
      <c r="U5" s="748"/>
      <c r="V5" s="748"/>
      <c r="W5" s="748"/>
      <c r="X5" s="748"/>
      <c r="Y5" s="748"/>
      <c r="Z5" s="748"/>
      <c r="AA5" s="748"/>
      <c r="AB5" s="748"/>
      <c r="AC5" s="748"/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748"/>
      <c r="AP5" s="748"/>
      <c r="AQ5" s="748"/>
      <c r="AR5" s="748"/>
      <c r="AS5" s="748"/>
      <c r="AT5" s="748"/>
      <c r="AU5" s="748"/>
      <c r="AV5" s="748"/>
      <c r="AW5" s="748"/>
      <c r="AX5" s="748"/>
      <c r="AY5" s="748"/>
      <c r="AZ5" s="749"/>
    </row>
    <row r="6" spans="1:52">
      <c r="A6" s="524" t="s">
        <v>576</v>
      </c>
      <c r="B6" s="756" t="s">
        <v>577</v>
      </c>
      <c r="C6" s="757"/>
      <c r="D6" s="758"/>
      <c r="E6" s="527"/>
      <c r="F6" s="730" t="s">
        <v>578</v>
      </c>
      <c r="G6" s="731"/>
      <c r="H6" s="732"/>
      <c r="I6" s="770"/>
      <c r="J6" s="771"/>
      <c r="K6" s="771"/>
      <c r="L6" s="748" t="s">
        <v>579</v>
      </c>
      <c r="M6" s="748"/>
      <c r="N6" s="748"/>
      <c r="O6" s="748"/>
      <c r="P6" s="748"/>
      <c r="Q6" s="748"/>
      <c r="R6" s="748"/>
      <c r="S6" s="748"/>
      <c r="T6" s="748"/>
      <c r="U6" s="748"/>
      <c r="V6" s="748"/>
      <c r="W6" s="748"/>
      <c r="X6" s="748"/>
      <c r="Y6" s="748"/>
      <c r="Z6" s="748"/>
      <c r="AA6" s="748"/>
      <c r="AB6" s="748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AQ6" s="748"/>
      <c r="AR6" s="748"/>
      <c r="AS6" s="748"/>
      <c r="AT6" s="748"/>
      <c r="AU6" s="748"/>
      <c r="AV6" s="748"/>
      <c r="AW6" s="748"/>
      <c r="AX6" s="748"/>
      <c r="AY6" s="748"/>
      <c r="AZ6" s="749"/>
    </row>
    <row r="7" spans="1:52" ht="15.6" thickBot="1">
      <c r="A7" s="524" t="s">
        <v>580</v>
      </c>
      <c r="B7" s="756" t="s">
        <v>581</v>
      </c>
      <c r="C7" s="757"/>
      <c r="D7" s="758"/>
      <c r="E7" s="528"/>
      <c r="F7" s="710"/>
      <c r="G7" s="711"/>
      <c r="H7" s="712"/>
      <c r="I7" s="770"/>
      <c r="J7" s="771"/>
      <c r="K7" s="771"/>
      <c r="L7" s="748" t="s">
        <v>582</v>
      </c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8"/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8"/>
      <c r="AY7" s="748"/>
      <c r="AZ7" s="749"/>
    </row>
    <row r="8" spans="1:52">
      <c r="A8" s="528" t="s">
        <v>583</v>
      </c>
      <c r="B8" s="759"/>
      <c r="C8" s="760"/>
      <c r="D8" s="761"/>
      <c r="E8" s="529"/>
      <c r="F8" s="745"/>
      <c r="G8" s="746"/>
      <c r="H8" s="747"/>
      <c r="I8" s="770"/>
      <c r="J8" s="771"/>
      <c r="K8" s="771"/>
      <c r="L8" s="737" t="s">
        <v>568</v>
      </c>
      <c r="M8" s="737"/>
      <c r="N8" s="737"/>
      <c r="O8" s="737"/>
      <c r="P8" s="737"/>
      <c r="Q8" s="737"/>
      <c r="R8" s="737"/>
      <c r="S8" s="737"/>
      <c r="T8" s="737"/>
      <c r="U8" s="737"/>
      <c r="V8" s="737"/>
      <c r="W8" s="737"/>
      <c r="X8" s="737"/>
      <c r="Y8" s="737"/>
      <c r="Z8" s="737"/>
      <c r="AA8" s="737"/>
      <c r="AB8" s="737"/>
      <c r="AC8" s="737"/>
      <c r="AD8" s="737"/>
      <c r="AE8" s="737"/>
      <c r="AF8" s="737"/>
      <c r="AG8" s="737"/>
      <c r="AH8" s="737"/>
      <c r="AI8" s="737"/>
      <c r="AJ8" s="737"/>
      <c r="AK8" s="737"/>
      <c r="AL8" s="737"/>
      <c r="AM8" s="737"/>
      <c r="AN8" s="737"/>
      <c r="AO8" s="737"/>
      <c r="AP8" s="737"/>
      <c r="AQ8" s="737"/>
      <c r="AR8" s="737"/>
      <c r="AS8" s="737"/>
      <c r="AT8" s="737"/>
      <c r="AU8" s="737"/>
      <c r="AV8" s="737"/>
      <c r="AW8" s="737"/>
      <c r="AX8" s="737"/>
      <c r="AY8" s="737"/>
      <c r="AZ8" s="738"/>
    </row>
    <row r="9" spans="1:52">
      <c r="A9" s="528" t="s">
        <v>584</v>
      </c>
      <c r="B9" s="716" t="s">
        <v>585</v>
      </c>
      <c r="C9" s="717"/>
      <c r="D9" s="718"/>
      <c r="E9" s="529"/>
      <c r="F9" s="745"/>
      <c r="G9" s="746"/>
      <c r="H9" s="747"/>
      <c r="I9" s="770"/>
      <c r="J9" s="771"/>
      <c r="K9" s="771"/>
      <c r="L9" s="748" t="s">
        <v>586</v>
      </c>
      <c r="M9" s="748"/>
      <c r="N9" s="748"/>
      <c r="O9" s="748"/>
      <c r="P9" s="748"/>
      <c r="Q9" s="748"/>
      <c r="R9" s="748"/>
      <c r="S9" s="748"/>
      <c r="T9" s="748"/>
      <c r="U9" s="748"/>
      <c r="V9" s="748"/>
      <c r="W9" s="748"/>
      <c r="X9" s="748"/>
      <c r="Y9" s="748"/>
      <c r="Z9" s="748"/>
      <c r="AA9" s="748"/>
      <c r="AB9" s="748"/>
      <c r="AC9" s="748"/>
      <c r="AD9" s="748"/>
      <c r="AE9" s="748"/>
      <c r="AF9" s="748"/>
      <c r="AG9" s="748"/>
      <c r="AH9" s="748"/>
      <c r="AI9" s="748"/>
      <c r="AJ9" s="748"/>
      <c r="AK9" s="748"/>
      <c r="AL9" s="748"/>
      <c r="AM9" s="748"/>
      <c r="AN9" s="748"/>
      <c r="AO9" s="748"/>
      <c r="AP9" s="748"/>
      <c r="AQ9" s="748"/>
      <c r="AR9" s="748"/>
      <c r="AS9" s="748"/>
      <c r="AT9" s="748"/>
      <c r="AU9" s="748"/>
      <c r="AV9" s="748"/>
      <c r="AW9" s="748"/>
      <c r="AX9" s="748"/>
      <c r="AY9" s="748"/>
      <c r="AZ9" s="749"/>
    </row>
    <row r="10" spans="1:52" ht="15.6" thickBot="1">
      <c r="A10" s="530" t="s">
        <v>587</v>
      </c>
      <c r="B10" s="750"/>
      <c r="C10" s="751"/>
      <c r="D10" s="752"/>
      <c r="E10" s="531"/>
      <c r="F10" s="753"/>
      <c r="G10" s="754"/>
      <c r="H10" s="755"/>
      <c r="I10" s="770"/>
      <c r="J10" s="771"/>
      <c r="K10" s="771"/>
      <c r="L10" s="737" t="s">
        <v>588</v>
      </c>
      <c r="M10" s="737"/>
      <c r="N10" s="737"/>
      <c r="O10" s="737"/>
      <c r="P10" s="737"/>
      <c r="Q10" s="737"/>
      <c r="R10" s="737"/>
      <c r="S10" s="737"/>
      <c r="T10" s="737"/>
      <c r="U10" s="737"/>
      <c r="V10" s="737"/>
      <c r="W10" s="737"/>
      <c r="X10" s="737"/>
      <c r="Y10" s="737"/>
      <c r="Z10" s="737"/>
      <c r="AA10" s="737"/>
      <c r="AB10" s="737"/>
      <c r="AC10" s="737"/>
      <c r="AD10" s="737"/>
      <c r="AE10" s="737"/>
      <c r="AF10" s="737"/>
      <c r="AG10" s="737"/>
      <c r="AH10" s="737"/>
      <c r="AI10" s="737"/>
      <c r="AJ10" s="737"/>
      <c r="AK10" s="737"/>
      <c r="AL10" s="737"/>
      <c r="AM10" s="737"/>
      <c r="AN10" s="737"/>
      <c r="AO10" s="737"/>
      <c r="AP10" s="737"/>
      <c r="AQ10" s="737"/>
      <c r="AR10" s="737"/>
      <c r="AS10" s="737"/>
      <c r="AT10" s="737"/>
      <c r="AU10" s="737"/>
      <c r="AV10" s="737"/>
      <c r="AW10" s="737"/>
      <c r="AX10" s="737"/>
      <c r="AY10" s="737"/>
      <c r="AZ10" s="738"/>
    </row>
    <row r="11" spans="1:52">
      <c r="A11" s="524" t="s">
        <v>589</v>
      </c>
      <c r="B11" s="716" t="s">
        <v>590</v>
      </c>
      <c r="C11" s="717"/>
      <c r="D11" s="718"/>
      <c r="E11" s="524" t="s">
        <v>591</v>
      </c>
      <c r="F11" s="742">
        <v>1</v>
      </c>
      <c r="G11" s="743"/>
      <c r="H11" s="744"/>
      <c r="I11" s="770"/>
      <c r="J11" s="771"/>
      <c r="K11" s="771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7"/>
      <c r="X11" s="737"/>
      <c r="Y11" s="737"/>
      <c r="Z11" s="737"/>
      <c r="AA11" s="737"/>
      <c r="AB11" s="737"/>
      <c r="AC11" s="737"/>
      <c r="AD11" s="737"/>
      <c r="AE11" s="737"/>
      <c r="AF11" s="737"/>
      <c r="AG11" s="737"/>
      <c r="AH11" s="737"/>
      <c r="AI11" s="737"/>
      <c r="AJ11" s="737"/>
      <c r="AK11" s="737"/>
      <c r="AL11" s="737"/>
      <c r="AM11" s="737"/>
      <c r="AN11" s="737"/>
      <c r="AO11" s="737"/>
      <c r="AP11" s="737"/>
      <c r="AQ11" s="737"/>
      <c r="AR11" s="737"/>
      <c r="AS11" s="737"/>
      <c r="AT11" s="737"/>
      <c r="AU11" s="737"/>
      <c r="AV11" s="737"/>
      <c r="AW11" s="737"/>
      <c r="AX11" s="737"/>
      <c r="AY11" s="737"/>
      <c r="AZ11" s="738"/>
    </row>
    <row r="12" spans="1:52">
      <c r="A12" s="524" t="s">
        <v>592</v>
      </c>
      <c r="B12" s="716" t="s">
        <v>593</v>
      </c>
      <c r="C12" s="717"/>
      <c r="D12" s="718"/>
      <c r="E12" s="524"/>
      <c r="F12" s="725"/>
      <c r="G12" s="726"/>
      <c r="H12" s="727"/>
      <c r="I12" s="770"/>
      <c r="J12" s="771"/>
      <c r="K12" s="771"/>
      <c r="L12" s="737"/>
      <c r="M12" s="737"/>
      <c r="N12" s="737"/>
      <c r="O12" s="737"/>
      <c r="P12" s="737"/>
      <c r="Q12" s="737"/>
      <c r="R12" s="737"/>
      <c r="S12" s="737"/>
      <c r="T12" s="737"/>
      <c r="U12" s="737"/>
      <c r="V12" s="737"/>
      <c r="W12" s="737"/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7"/>
      <c r="AJ12" s="737"/>
      <c r="AK12" s="737"/>
      <c r="AL12" s="737"/>
      <c r="AM12" s="737"/>
      <c r="AN12" s="737"/>
      <c r="AO12" s="737"/>
      <c r="AP12" s="737"/>
      <c r="AQ12" s="737"/>
      <c r="AR12" s="737"/>
      <c r="AS12" s="737"/>
      <c r="AT12" s="737"/>
      <c r="AU12" s="737"/>
      <c r="AV12" s="737"/>
      <c r="AW12" s="737"/>
      <c r="AX12" s="737"/>
      <c r="AY12" s="737"/>
      <c r="AZ12" s="738"/>
    </row>
    <row r="13" spans="1:52">
      <c r="A13" s="524" t="s">
        <v>594</v>
      </c>
      <c r="B13" s="716" t="s">
        <v>595</v>
      </c>
      <c r="C13" s="717"/>
      <c r="D13" s="718"/>
      <c r="E13" s="524"/>
      <c r="F13" s="725"/>
      <c r="G13" s="726"/>
      <c r="H13" s="727"/>
      <c r="I13" s="770"/>
      <c r="J13" s="771"/>
      <c r="K13" s="771"/>
      <c r="L13" s="737"/>
      <c r="M13" s="737"/>
      <c r="N13" s="737"/>
      <c r="O13" s="737"/>
      <c r="P13" s="737"/>
      <c r="Q13" s="737"/>
      <c r="R13" s="737"/>
      <c r="S13" s="737"/>
      <c r="T13" s="737"/>
      <c r="U13" s="737"/>
      <c r="V13" s="737"/>
      <c r="W13" s="737"/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37"/>
      <c r="AT13" s="737"/>
      <c r="AU13" s="737"/>
      <c r="AV13" s="737"/>
      <c r="AW13" s="737"/>
      <c r="AX13" s="737"/>
      <c r="AY13" s="737"/>
      <c r="AZ13" s="738"/>
    </row>
    <row r="14" spans="1:52">
      <c r="A14" s="524" t="s">
        <v>596</v>
      </c>
      <c r="B14" s="716" t="s">
        <v>597</v>
      </c>
      <c r="C14" s="717"/>
      <c r="D14" s="718"/>
      <c r="E14" s="524"/>
      <c r="F14" s="725"/>
      <c r="G14" s="726"/>
      <c r="H14" s="727"/>
      <c r="I14" s="770"/>
      <c r="J14" s="771"/>
      <c r="K14" s="771"/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7"/>
      <c r="W14" s="737"/>
      <c r="X14" s="737"/>
      <c r="Y14" s="737"/>
      <c r="Z14" s="737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37"/>
      <c r="AT14" s="737"/>
      <c r="AU14" s="737"/>
      <c r="AV14" s="737"/>
      <c r="AW14" s="737"/>
      <c r="AX14" s="737"/>
      <c r="AY14" s="737"/>
      <c r="AZ14" s="738"/>
    </row>
    <row r="15" spans="1:52">
      <c r="A15" s="524" t="s">
        <v>598</v>
      </c>
      <c r="B15" s="716" t="s">
        <v>599</v>
      </c>
      <c r="C15" s="717"/>
      <c r="D15" s="718"/>
      <c r="E15" s="524"/>
      <c r="F15" s="725"/>
      <c r="G15" s="726"/>
      <c r="H15" s="727"/>
      <c r="I15" s="770"/>
      <c r="J15" s="771"/>
      <c r="K15" s="771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737"/>
      <c r="Y15" s="737"/>
      <c r="Z15" s="737"/>
      <c r="AA15" s="737"/>
      <c r="AB15" s="737"/>
      <c r="AC15" s="737"/>
      <c r="AD15" s="737"/>
      <c r="AE15" s="737"/>
      <c r="AF15" s="737"/>
      <c r="AG15" s="737"/>
      <c r="AH15" s="737"/>
      <c r="AI15" s="737"/>
      <c r="AJ15" s="737"/>
      <c r="AK15" s="737"/>
      <c r="AL15" s="737"/>
      <c r="AM15" s="737"/>
      <c r="AN15" s="737"/>
      <c r="AO15" s="737"/>
      <c r="AP15" s="737"/>
      <c r="AQ15" s="737"/>
      <c r="AR15" s="737"/>
      <c r="AS15" s="737"/>
      <c r="AT15" s="737"/>
      <c r="AU15" s="737"/>
      <c r="AV15" s="737"/>
      <c r="AW15" s="737"/>
      <c r="AX15" s="737"/>
      <c r="AY15" s="737"/>
      <c r="AZ15" s="738"/>
    </row>
    <row r="16" spans="1:52">
      <c r="A16" s="524" t="s">
        <v>600</v>
      </c>
      <c r="B16" s="716" t="s">
        <v>601</v>
      </c>
      <c r="C16" s="717"/>
      <c r="D16" s="718"/>
      <c r="E16" s="524"/>
      <c r="F16" s="725"/>
      <c r="G16" s="726"/>
      <c r="H16" s="727"/>
      <c r="I16" s="770"/>
      <c r="J16" s="771"/>
      <c r="K16" s="771"/>
      <c r="L16" s="737"/>
      <c r="M16" s="737"/>
      <c r="N16" s="737"/>
      <c r="O16" s="737"/>
      <c r="P16" s="737"/>
      <c r="Q16" s="737"/>
      <c r="R16" s="737"/>
      <c r="S16" s="737"/>
      <c r="T16" s="737"/>
      <c r="U16" s="737"/>
      <c r="V16" s="737"/>
      <c r="W16" s="737"/>
      <c r="X16" s="737"/>
      <c r="Y16" s="737"/>
      <c r="Z16" s="737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37"/>
      <c r="AT16" s="737"/>
      <c r="AU16" s="737"/>
      <c r="AV16" s="737"/>
      <c r="AW16" s="737"/>
      <c r="AX16" s="737"/>
      <c r="AY16" s="737"/>
      <c r="AZ16" s="738"/>
    </row>
    <row r="17" spans="1:52" ht="15.6" thickBot="1">
      <c r="A17" s="524" t="s">
        <v>602</v>
      </c>
      <c r="B17" s="716" t="s">
        <v>603</v>
      </c>
      <c r="C17" s="717"/>
      <c r="D17" s="718"/>
      <c r="E17" s="526"/>
      <c r="F17" s="739"/>
      <c r="G17" s="740"/>
      <c r="H17" s="741"/>
      <c r="I17" s="770"/>
      <c r="J17" s="771"/>
      <c r="K17" s="771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  <c r="Y17" s="737"/>
      <c r="Z17" s="737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737"/>
      <c r="AS17" s="737"/>
      <c r="AT17" s="737"/>
      <c r="AU17" s="737"/>
      <c r="AV17" s="737"/>
      <c r="AW17" s="737"/>
      <c r="AX17" s="737"/>
      <c r="AY17" s="737"/>
      <c r="AZ17" s="738"/>
    </row>
    <row r="18" spans="1:52">
      <c r="A18" s="524" t="s">
        <v>604</v>
      </c>
      <c r="B18" s="716" t="s">
        <v>605</v>
      </c>
      <c r="C18" s="717"/>
      <c r="D18" s="718"/>
      <c r="E18" s="532" t="s">
        <v>606</v>
      </c>
      <c r="F18" s="730"/>
      <c r="G18" s="731"/>
      <c r="H18" s="732"/>
      <c r="I18" s="770"/>
      <c r="J18" s="771"/>
      <c r="K18" s="771"/>
      <c r="L18" s="737"/>
      <c r="M18" s="737"/>
      <c r="N18" s="737"/>
      <c r="O18" s="737"/>
      <c r="P18" s="737"/>
      <c r="Q18" s="737"/>
      <c r="R18" s="737"/>
      <c r="S18" s="737"/>
      <c r="T18" s="737"/>
      <c r="U18" s="737"/>
      <c r="V18" s="737"/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  <c r="AI18" s="737"/>
      <c r="AJ18" s="737"/>
      <c r="AK18" s="737"/>
      <c r="AL18" s="737"/>
      <c r="AM18" s="737"/>
      <c r="AN18" s="737"/>
      <c r="AO18" s="737"/>
      <c r="AP18" s="737"/>
      <c r="AQ18" s="737"/>
      <c r="AR18" s="737"/>
      <c r="AS18" s="737"/>
      <c r="AT18" s="737"/>
      <c r="AU18" s="737"/>
      <c r="AV18" s="737"/>
      <c r="AW18" s="737"/>
      <c r="AX18" s="737"/>
      <c r="AY18" s="737"/>
      <c r="AZ18" s="738"/>
    </row>
    <row r="19" spans="1:52" ht="15.6" thickBot="1">
      <c r="A19" s="524" t="s">
        <v>607</v>
      </c>
      <c r="B19" s="722"/>
      <c r="C19" s="723"/>
      <c r="D19" s="724"/>
      <c r="E19" s="533"/>
      <c r="F19" s="725"/>
      <c r="G19" s="726"/>
      <c r="H19" s="727"/>
      <c r="I19" s="772"/>
      <c r="J19" s="773"/>
      <c r="K19" s="773"/>
      <c r="L19" s="733"/>
      <c r="M19" s="733"/>
      <c r="N19" s="733"/>
      <c r="O19" s="733"/>
      <c r="P19" s="733"/>
      <c r="Q19" s="733"/>
      <c r="R19" s="733"/>
      <c r="S19" s="733"/>
      <c r="T19" s="733"/>
      <c r="U19" s="733"/>
      <c r="V19" s="733"/>
      <c r="W19" s="733"/>
      <c r="X19" s="733"/>
      <c r="Y19" s="733"/>
      <c r="Z19" s="733"/>
      <c r="AA19" s="733"/>
      <c r="AB19" s="733"/>
      <c r="AC19" s="733"/>
      <c r="AD19" s="733"/>
      <c r="AE19" s="733"/>
      <c r="AF19" s="733"/>
      <c r="AG19" s="733"/>
      <c r="AH19" s="733"/>
      <c r="AI19" s="733"/>
      <c r="AJ19" s="733"/>
      <c r="AK19" s="733"/>
      <c r="AL19" s="733"/>
      <c r="AM19" s="733"/>
      <c r="AN19" s="733"/>
      <c r="AO19" s="733"/>
      <c r="AP19" s="733"/>
      <c r="AQ19" s="733"/>
      <c r="AR19" s="733"/>
      <c r="AS19" s="733"/>
      <c r="AT19" s="733"/>
      <c r="AU19" s="733"/>
      <c r="AV19" s="733"/>
      <c r="AW19" s="733"/>
      <c r="AX19" s="733"/>
      <c r="AY19" s="733"/>
      <c r="AZ19" s="734"/>
    </row>
    <row r="20" spans="1:52">
      <c r="A20" s="524" t="s">
        <v>608</v>
      </c>
      <c r="B20" s="722"/>
      <c r="C20" s="723"/>
      <c r="D20" s="724"/>
      <c r="E20" s="533"/>
      <c r="F20" s="725"/>
      <c r="G20" s="726"/>
      <c r="H20" s="727"/>
      <c r="I20" s="735"/>
      <c r="J20" s="736"/>
      <c r="K20" s="736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7"/>
      <c r="AV20" s="737"/>
      <c r="AW20" s="737"/>
      <c r="AX20" s="737"/>
      <c r="AY20" s="737"/>
      <c r="AZ20" s="738"/>
    </row>
    <row r="21" spans="1:52" ht="15.6" thickBot="1">
      <c r="A21" s="524" t="s">
        <v>609</v>
      </c>
      <c r="B21" s="722"/>
      <c r="C21" s="723"/>
      <c r="D21" s="724"/>
      <c r="E21" s="533"/>
      <c r="F21" s="725"/>
      <c r="G21" s="726"/>
      <c r="H21" s="727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22"/>
      <c r="C22" s="723"/>
      <c r="D22" s="724"/>
      <c r="E22" s="533" t="s">
        <v>613</v>
      </c>
      <c r="F22" s="710"/>
      <c r="G22" s="711"/>
      <c r="H22" s="712"/>
      <c r="I22" s="540" t="s">
        <v>614</v>
      </c>
      <c r="J22" s="541"/>
      <c r="K22" s="542"/>
      <c r="L22" s="543"/>
      <c r="M22" s="541"/>
      <c r="N22" s="728"/>
      <c r="O22" s="728"/>
      <c r="P22" s="728"/>
      <c r="Q22" s="728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6" thickBot="1">
      <c r="A23" s="525" t="s">
        <v>616</v>
      </c>
      <c r="B23" s="722"/>
      <c r="C23" s="723"/>
      <c r="D23" s="724"/>
      <c r="E23" s="548" t="s">
        <v>617</v>
      </c>
      <c r="F23" s="701"/>
      <c r="G23" s="702"/>
      <c r="H23" s="703"/>
      <c r="I23" s="549" t="s">
        <v>618</v>
      </c>
      <c r="J23" s="550"/>
      <c r="K23" s="551"/>
      <c r="L23" s="552"/>
      <c r="M23" s="550"/>
      <c r="N23" s="729"/>
      <c r="O23" s="729"/>
      <c r="P23" s="729"/>
      <c r="Q23" s="729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16" t="s">
        <v>621</v>
      </c>
      <c r="C24" s="717"/>
      <c r="D24" s="718"/>
      <c r="E24" s="532" t="s">
        <v>622</v>
      </c>
      <c r="F24" s="730"/>
      <c r="G24" s="731"/>
      <c r="H24" s="732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16" t="s">
        <v>625</v>
      </c>
      <c r="C25" s="717"/>
      <c r="D25" s="718"/>
      <c r="E25" s="533"/>
      <c r="F25" s="710"/>
      <c r="G25" s="711"/>
      <c r="H25" s="712"/>
      <c r="I25" s="557"/>
      <c r="J25" s="558"/>
      <c r="K25" s="559"/>
      <c r="L25" s="713"/>
      <c r="M25" s="714"/>
      <c r="N25" s="714"/>
      <c r="O25" s="714"/>
      <c r="P25" s="714"/>
      <c r="Q25" s="714"/>
      <c r="R25" s="714"/>
      <c r="S25" s="714"/>
      <c r="T25" s="714"/>
      <c r="U25" s="714"/>
      <c r="V25" s="714"/>
      <c r="W25" s="714"/>
      <c r="X25" s="714"/>
      <c r="Y25" s="714"/>
      <c r="Z25" s="714"/>
      <c r="AA25" s="714"/>
      <c r="AB25" s="714"/>
      <c r="AC25" s="714"/>
      <c r="AD25" s="714"/>
      <c r="AE25" s="714"/>
      <c r="AF25" s="714"/>
      <c r="AG25" s="714"/>
      <c r="AH25" s="714"/>
      <c r="AI25" s="714"/>
      <c r="AJ25" s="714"/>
      <c r="AK25" s="714"/>
      <c r="AL25" s="714"/>
      <c r="AM25" s="714"/>
      <c r="AN25" s="714"/>
      <c r="AO25" s="714"/>
      <c r="AP25" s="714"/>
      <c r="AQ25" s="714"/>
      <c r="AR25" s="714"/>
      <c r="AS25" s="714"/>
      <c r="AT25" s="714"/>
      <c r="AU25" s="714"/>
      <c r="AV25" s="714"/>
      <c r="AW25" s="714"/>
      <c r="AX25" s="714"/>
      <c r="AY25" s="714"/>
      <c r="AZ25" s="715"/>
    </row>
    <row r="26" spans="1:52">
      <c r="A26" s="525" t="s">
        <v>587</v>
      </c>
      <c r="B26" s="716" t="s">
        <v>626</v>
      </c>
      <c r="C26" s="717"/>
      <c r="D26" s="718"/>
      <c r="E26" s="533" t="s">
        <v>627</v>
      </c>
      <c r="F26" s="710"/>
      <c r="G26" s="711"/>
      <c r="H26" s="712"/>
      <c r="I26" s="557"/>
      <c r="J26" s="558"/>
      <c r="K26" s="559"/>
      <c r="L26" s="713"/>
      <c r="M26" s="714"/>
      <c r="N26" s="714"/>
      <c r="O26" s="714"/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  <c r="AB26" s="714"/>
      <c r="AC26" s="714"/>
      <c r="AD26" s="714"/>
      <c r="AE26" s="714"/>
      <c r="AF26" s="714"/>
      <c r="AG26" s="714"/>
      <c r="AH26" s="714"/>
      <c r="AI26" s="714"/>
      <c r="AJ26" s="714"/>
      <c r="AK26" s="714"/>
      <c r="AL26" s="714"/>
      <c r="AM26" s="714"/>
      <c r="AN26" s="714"/>
      <c r="AO26" s="714"/>
      <c r="AP26" s="714"/>
      <c r="AQ26" s="714"/>
      <c r="AR26" s="714"/>
      <c r="AS26" s="714"/>
      <c r="AT26" s="714"/>
      <c r="AU26" s="714"/>
      <c r="AV26" s="714"/>
      <c r="AW26" s="714"/>
      <c r="AX26" s="714"/>
      <c r="AY26" s="714"/>
      <c r="AZ26" s="715"/>
    </row>
    <row r="27" spans="1:52" ht="15.6" thickBot="1">
      <c r="A27" s="526" t="s">
        <v>628</v>
      </c>
      <c r="B27" s="716" t="s">
        <v>629</v>
      </c>
      <c r="C27" s="717"/>
      <c r="D27" s="718"/>
      <c r="E27" s="533" t="s">
        <v>630</v>
      </c>
      <c r="F27" s="710"/>
      <c r="G27" s="711"/>
      <c r="H27" s="712"/>
      <c r="I27" s="557"/>
      <c r="J27" s="558"/>
      <c r="K27" s="559"/>
      <c r="L27" s="713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4"/>
      <c r="AJ27" s="714"/>
      <c r="AK27" s="714"/>
      <c r="AL27" s="714"/>
      <c r="AM27" s="714"/>
      <c r="AN27" s="714"/>
      <c r="AO27" s="714"/>
      <c r="AP27" s="714"/>
      <c r="AQ27" s="714"/>
      <c r="AR27" s="714"/>
      <c r="AS27" s="714"/>
      <c r="AT27" s="714"/>
      <c r="AU27" s="714"/>
      <c r="AV27" s="714"/>
      <c r="AW27" s="714"/>
      <c r="AX27" s="714"/>
      <c r="AY27" s="714"/>
      <c r="AZ27" s="715"/>
    </row>
    <row r="28" spans="1:52">
      <c r="A28" s="563"/>
      <c r="B28" s="719"/>
      <c r="C28" s="720"/>
      <c r="D28" s="721"/>
      <c r="E28" s="533" t="s">
        <v>631</v>
      </c>
      <c r="F28" s="710"/>
      <c r="G28" s="711"/>
      <c r="H28" s="712"/>
      <c r="I28" s="557"/>
      <c r="J28" s="558"/>
      <c r="K28" s="559"/>
      <c r="L28" s="713"/>
      <c r="M28" s="714"/>
      <c r="N28" s="714"/>
      <c r="O28" s="714"/>
      <c r="P28" s="714"/>
      <c r="Q28" s="714"/>
      <c r="R28" s="714"/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14"/>
      <c r="AH28" s="714"/>
      <c r="AI28" s="714"/>
      <c r="AJ28" s="714"/>
      <c r="AK28" s="714"/>
      <c r="AL28" s="714"/>
      <c r="AM28" s="714"/>
      <c r="AN28" s="714"/>
      <c r="AO28" s="714"/>
      <c r="AP28" s="714"/>
      <c r="AQ28" s="714"/>
      <c r="AR28" s="714"/>
      <c r="AS28" s="714"/>
      <c r="AT28" s="714"/>
      <c r="AU28" s="714"/>
      <c r="AV28" s="714"/>
      <c r="AW28" s="714"/>
      <c r="AX28" s="714"/>
      <c r="AY28" s="714"/>
      <c r="AZ28" s="715"/>
    </row>
    <row r="29" spans="1:52">
      <c r="A29" s="563"/>
      <c r="B29" s="707"/>
      <c r="C29" s="708"/>
      <c r="D29" s="709"/>
      <c r="E29" s="533" t="s">
        <v>632</v>
      </c>
      <c r="F29" s="710"/>
      <c r="G29" s="711"/>
      <c r="H29" s="712"/>
      <c r="I29" s="557"/>
      <c r="J29" s="558"/>
      <c r="K29" s="559"/>
      <c r="L29" s="713"/>
      <c r="M29" s="714"/>
      <c r="N29" s="714"/>
      <c r="O29" s="714"/>
      <c r="P29" s="714"/>
      <c r="Q29" s="714"/>
      <c r="R29" s="714"/>
      <c r="S29" s="714"/>
      <c r="T29" s="714"/>
      <c r="U29" s="714"/>
      <c r="V29" s="714"/>
      <c r="W29" s="714"/>
      <c r="X29" s="714"/>
      <c r="Y29" s="714"/>
      <c r="Z29" s="714"/>
      <c r="AA29" s="714"/>
      <c r="AB29" s="714"/>
      <c r="AC29" s="714"/>
      <c r="AD29" s="714"/>
      <c r="AE29" s="714"/>
      <c r="AF29" s="714"/>
      <c r="AG29" s="714"/>
      <c r="AH29" s="714"/>
      <c r="AI29" s="714"/>
      <c r="AJ29" s="714"/>
      <c r="AK29" s="714"/>
      <c r="AL29" s="714"/>
      <c r="AM29" s="714"/>
      <c r="AN29" s="714"/>
      <c r="AO29" s="714"/>
      <c r="AP29" s="714"/>
      <c r="AQ29" s="714"/>
      <c r="AR29" s="714"/>
      <c r="AS29" s="714"/>
      <c r="AT29" s="714"/>
      <c r="AU29" s="714"/>
      <c r="AV29" s="714"/>
      <c r="AW29" s="714"/>
      <c r="AX29" s="714"/>
      <c r="AY29" s="714"/>
      <c r="AZ29" s="715"/>
    </row>
    <row r="30" spans="1:52">
      <c r="A30" s="563"/>
      <c r="B30" s="707"/>
      <c r="C30" s="708"/>
      <c r="D30" s="709"/>
      <c r="E30" s="533"/>
      <c r="F30" s="710"/>
      <c r="G30" s="711"/>
      <c r="H30" s="712"/>
      <c r="I30" s="557"/>
      <c r="J30" s="558"/>
      <c r="K30" s="559"/>
      <c r="L30" s="713"/>
      <c r="M30" s="714"/>
      <c r="N30" s="714"/>
      <c r="O30" s="714"/>
      <c r="P30" s="714"/>
      <c r="Q30" s="714"/>
      <c r="R30" s="714"/>
      <c r="S30" s="714"/>
      <c r="T30" s="714"/>
      <c r="U30" s="714"/>
      <c r="V30" s="714"/>
      <c r="W30" s="714"/>
      <c r="X30" s="714"/>
      <c r="Y30" s="714"/>
      <c r="Z30" s="714"/>
      <c r="AA30" s="714"/>
      <c r="AB30" s="714"/>
      <c r="AC30" s="714"/>
      <c r="AD30" s="714"/>
      <c r="AE30" s="714"/>
      <c r="AF30" s="714"/>
      <c r="AG30" s="714"/>
      <c r="AH30" s="714"/>
      <c r="AI30" s="714"/>
      <c r="AJ30" s="714"/>
      <c r="AK30" s="714"/>
      <c r="AL30" s="714"/>
      <c r="AM30" s="714"/>
      <c r="AN30" s="714"/>
      <c r="AO30" s="714"/>
      <c r="AP30" s="714"/>
      <c r="AQ30" s="714"/>
      <c r="AR30" s="714"/>
      <c r="AS30" s="714"/>
      <c r="AT30" s="714"/>
      <c r="AU30" s="714"/>
      <c r="AV30" s="714"/>
      <c r="AW30" s="714"/>
      <c r="AX30" s="714"/>
      <c r="AY30" s="714"/>
      <c r="AZ30" s="715"/>
    </row>
    <row r="31" spans="1:52" ht="15.6" thickBot="1">
      <c r="A31" s="564"/>
      <c r="B31" s="698"/>
      <c r="C31" s="699"/>
      <c r="D31" s="700"/>
      <c r="E31" s="548" t="s">
        <v>633</v>
      </c>
      <c r="F31" s="701"/>
      <c r="G31" s="702"/>
      <c r="H31" s="703"/>
      <c r="I31" s="565"/>
      <c r="J31" s="566"/>
      <c r="K31" s="567"/>
      <c r="L31" s="704"/>
      <c r="M31" s="705"/>
      <c r="N31" s="705"/>
      <c r="O31" s="705"/>
      <c r="P31" s="705"/>
      <c r="Q31" s="705"/>
      <c r="R31" s="705"/>
      <c r="S31" s="705"/>
      <c r="T31" s="705"/>
      <c r="U31" s="705"/>
      <c r="V31" s="705"/>
      <c r="W31" s="705"/>
      <c r="X31" s="705"/>
      <c r="Y31" s="705"/>
      <c r="Z31" s="705"/>
      <c r="AA31" s="705"/>
      <c r="AB31" s="705"/>
      <c r="AC31" s="705"/>
      <c r="AD31" s="705"/>
      <c r="AE31" s="705"/>
      <c r="AF31" s="705"/>
      <c r="AG31" s="705"/>
      <c r="AH31" s="705"/>
      <c r="AI31" s="705"/>
      <c r="AJ31" s="705"/>
      <c r="AK31" s="705"/>
      <c r="AL31" s="705"/>
      <c r="AM31" s="705"/>
      <c r="AN31" s="705"/>
      <c r="AO31" s="705"/>
      <c r="AP31" s="705"/>
      <c r="AQ31" s="705"/>
      <c r="AR31" s="705"/>
      <c r="AS31" s="705"/>
      <c r="AT31" s="705"/>
      <c r="AU31" s="705"/>
      <c r="AV31" s="705"/>
      <c r="AW31" s="705"/>
      <c r="AX31" s="705"/>
      <c r="AY31" s="705"/>
      <c r="AZ31" s="706"/>
    </row>
    <row r="33" spans="1:29" ht="26.4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2017</v>
      </c>
      <c r="T33" s="568">
        <f>'Table 1'!F5</f>
        <v>2018</v>
      </c>
      <c r="U33" s="568">
        <f>'Table 1'!G5</f>
        <v>2019</v>
      </c>
      <c r="V33" s="568">
        <f>'Table 1'!H5</f>
        <v>2020</v>
      </c>
      <c r="W33" s="568">
        <f>'Table 1'!I5</f>
        <v>2021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2A'!$B$8:$H$67,'Table 2A'!N$1,0)="","",VLOOKUP($X50,'Table 2A'!$B$8:$H$67,'Table 2A'!N$1,0))</f>
        <v>#N/A</v>
      </c>
      <c r="T50" s="576" t="e">
        <f>IF(VLOOKUP($X50,'Table 2A'!$B$8:$H$67,'Table 2A'!O$1,0)="","",VLOOKUP($X50,'Table 2A'!$B$8:$H$67,'Table 2A'!O$1,0))</f>
        <v>#N/A</v>
      </c>
      <c r="U50" s="576" t="e">
        <f>IF(VLOOKUP($X50,'Table 2A'!$B$8:$H$67,'Table 2A'!P$1,0)="","",VLOOKUP($X50,'Table 2A'!$B$8:$H$67,'Table 2A'!P$1,0))</f>
        <v>#N/A</v>
      </c>
      <c r="V50" s="576" t="e">
        <f>IF(VLOOKUP($X50,'Table 2A'!$B$8:$H$67,'Table 2A'!Q$1,0)="","",VLOOKUP($X50,'Table 2A'!$B$8:$H$67,'Table 2A'!Q$1,0))</f>
        <v>#N/A</v>
      </c>
      <c r="W50" s="576" t="e">
        <f>IF(VLOOKUP($X50,'Table 2A'!$B$8:$H$67,'Table 2A'!R$1,0)="","",VLOOKUP($X50,'Table 2A'!$B$8:$H$67,'Table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2A'!$B$8:$B$67,1,0),"OK","check!!!!"),"check!!!!")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2A'!$B$8:$H$67,'Table 2A'!N$1,0)="","",VLOOKUP($X51,'Table 2A'!$B$8:$H$67,'Table 2A'!N$1,0))</f>
        <v>#N/A</v>
      </c>
      <c r="T51" s="576" t="e">
        <f>IF(VLOOKUP($X51,'Table 2A'!$B$8:$H$67,'Table 2A'!O$1,0)="","",VLOOKUP($X51,'Table 2A'!$B$8:$H$67,'Table 2A'!O$1,0))</f>
        <v>#N/A</v>
      </c>
      <c r="U51" s="576" t="e">
        <f>IF(VLOOKUP($X51,'Table 2A'!$B$8:$H$67,'Table 2A'!P$1,0)="","",VLOOKUP($X51,'Table 2A'!$B$8:$H$67,'Table 2A'!P$1,0))</f>
        <v>#N/A</v>
      </c>
      <c r="V51" s="576" t="e">
        <f>IF(VLOOKUP($X51,'Table 2A'!$B$8:$H$67,'Table 2A'!Q$1,0)="","",VLOOKUP($X51,'Table 2A'!$B$8:$H$67,'Table 2A'!Q$1,0))</f>
        <v>#N/A</v>
      </c>
      <c r="W51" s="576" t="e">
        <f>IF(VLOOKUP($X51,'Table 2A'!$B$8:$H$67,'Table 2A'!R$1,0)="","",VLOOKUP($X51,'Table 2A'!$B$8:$H$67,'Table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2A'!$B$8:$B$67,1,0),"OK","check!!!!"),"check!!!!")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2A'!$B$8:$H$67,'Table 2A'!N$1,0)="","",VLOOKUP($X52,'Table 2A'!$B$8:$H$67,'Table 2A'!N$1,0))</f>
        <v>#N/A</v>
      </c>
      <c r="T52" s="576" t="e">
        <f>IF(VLOOKUP($X52,'Table 2A'!$B$8:$H$67,'Table 2A'!O$1,0)="","",VLOOKUP($X52,'Table 2A'!$B$8:$H$67,'Table 2A'!O$1,0))</f>
        <v>#N/A</v>
      </c>
      <c r="U52" s="576" t="e">
        <f>IF(VLOOKUP($X52,'Table 2A'!$B$8:$H$67,'Table 2A'!P$1,0)="","",VLOOKUP($X52,'Table 2A'!$B$8:$H$67,'Table 2A'!P$1,0))</f>
        <v>#N/A</v>
      </c>
      <c r="V52" s="576" t="e">
        <f>IF(VLOOKUP($X52,'Table 2A'!$B$8:$H$67,'Table 2A'!Q$1,0)="","",VLOOKUP($X52,'Table 2A'!$B$8:$H$67,'Table 2A'!Q$1,0))</f>
        <v>#N/A</v>
      </c>
      <c r="W52" s="576" t="e">
        <f>IF(VLOOKUP($X52,'Table 2A'!$B$8:$H$67,'Table 2A'!R$1,0)="","",VLOOKUP($X52,'Table 2A'!$B$8:$H$67,'Table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2A'!$B$8:$B$67,1,0),"OK","check!!!!"),"check!!!!")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2A'!$B$8:$H$67,'Table 2A'!N$1,0)="","",VLOOKUP($X53,'Table 2A'!$B$8:$H$67,'Table 2A'!N$1,0))</f>
        <v>#N/A</v>
      </c>
      <c r="T53" s="576" t="e">
        <f>IF(VLOOKUP($X53,'Table 2A'!$B$8:$H$67,'Table 2A'!O$1,0)="","",VLOOKUP($X53,'Table 2A'!$B$8:$H$67,'Table 2A'!O$1,0))</f>
        <v>#N/A</v>
      </c>
      <c r="U53" s="576" t="e">
        <f>IF(VLOOKUP($X53,'Table 2A'!$B$8:$H$67,'Table 2A'!P$1,0)="","",VLOOKUP($X53,'Table 2A'!$B$8:$H$67,'Table 2A'!P$1,0))</f>
        <v>#N/A</v>
      </c>
      <c r="V53" s="576" t="e">
        <f>IF(VLOOKUP($X53,'Table 2A'!$B$8:$H$67,'Table 2A'!Q$1,0)="","",VLOOKUP($X53,'Table 2A'!$B$8:$H$67,'Table 2A'!Q$1,0))</f>
        <v>#N/A</v>
      </c>
      <c r="W53" s="576" t="e">
        <f>IF(VLOOKUP($X53,'Table 2A'!$B$8:$H$67,'Table 2A'!R$1,0)="","",VLOOKUP($X53,'Table 2A'!$B$8:$H$67,'Table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2A'!$B$8:$B$67,1,0),"OK","check!!!!"),"check!!!!")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2A'!$B$8:$H$67,'Table 2A'!N$1,0)="","",VLOOKUP($X54,'Table 2A'!$B$8:$H$67,'Table 2A'!N$1,0))</f>
        <v>#N/A</v>
      </c>
      <c r="T54" s="576" t="e">
        <f>IF(VLOOKUP($X54,'Table 2A'!$B$8:$H$67,'Table 2A'!O$1,0)="","",VLOOKUP($X54,'Table 2A'!$B$8:$H$67,'Table 2A'!O$1,0))</f>
        <v>#N/A</v>
      </c>
      <c r="U54" s="576" t="e">
        <f>IF(VLOOKUP($X54,'Table 2A'!$B$8:$H$67,'Table 2A'!P$1,0)="","",VLOOKUP($X54,'Table 2A'!$B$8:$H$67,'Table 2A'!P$1,0))</f>
        <v>#N/A</v>
      </c>
      <c r="V54" s="576" t="e">
        <f>IF(VLOOKUP($X54,'Table 2A'!$B$8:$H$67,'Table 2A'!Q$1,0)="","",VLOOKUP($X54,'Table 2A'!$B$8:$H$67,'Table 2A'!Q$1,0))</f>
        <v>#N/A</v>
      </c>
      <c r="W54" s="576" t="e">
        <f>IF(VLOOKUP($X54,'Table 2A'!$B$8:$H$67,'Table 2A'!R$1,0)="","",VLOOKUP($X54,'Table 2A'!$B$8:$H$67,'Table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2A'!$B$8:$B$67,1,0),"OK","check!!!!"),"check!!!!")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2A'!$B$8:$H$67,'Table 2A'!N$1,0)="","",VLOOKUP($X55,'Table 2A'!$B$8:$H$67,'Table 2A'!N$1,0))</f>
        <v>#N/A</v>
      </c>
      <c r="T55" s="576" t="e">
        <f>IF(VLOOKUP($X55,'Table 2A'!$B$8:$H$67,'Table 2A'!O$1,0)="","",VLOOKUP($X55,'Table 2A'!$B$8:$H$67,'Table 2A'!O$1,0))</f>
        <v>#N/A</v>
      </c>
      <c r="U55" s="576" t="e">
        <f>IF(VLOOKUP($X55,'Table 2A'!$B$8:$H$67,'Table 2A'!P$1,0)="","",VLOOKUP($X55,'Table 2A'!$B$8:$H$67,'Table 2A'!P$1,0))</f>
        <v>#N/A</v>
      </c>
      <c r="V55" s="576" t="e">
        <f>IF(VLOOKUP($X55,'Table 2A'!$B$8:$H$67,'Table 2A'!Q$1,0)="","",VLOOKUP($X55,'Table 2A'!$B$8:$H$67,'Table 2A'!Q$1,0))</f>
        <v>#N/A</v>
      </c>
      <c r="W55" s="576" t="e">
        <f>IF(VLOOKUP($X55,'Table 2A'!$B$8:$H$67,'Table 2A'!R$1,0)="","",VLOOKUP($X55,'Table 2A'!$B$8:$H$67,'Table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2A'!$B$8:$B$67,1,0),"OK","check!!!!"),"check!!!!")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2A'!$B$8:$H$67,'Table 2A'!N$1,0)="","",VLOOKUP($X56,'Table 2A'!$B$8:$H$67,'Table 2A'!N$1,0))</f>
        <v>#N/A</v>
      </c>
      <c r="T56" s="576" t="e">
        <f>IF(VLOOKUP($X56,'Table 2A'!$B$8:$H$67,'Table 2A'!O$1,0)="","",VLOOKUP($X56,'Table 2A'!$B$8:$H$67,'Table 2A'!O$1,0))</f>
        <v>#N/A</v>
      </c>
      <c r="U56" s="576" t="e">
        <f>IF(VLOOKUP($X56,'Table 2A'!$B$8:$H$67,'Table 2A'!P$1,0)="","",VLOOKUP($X56,'Table 2A'!$B$8:$H$67,'Table 2A'!P$1,0))</f>
        <v>#N/A</v>
      </c>
      <c r="V56" s="576" t="e">
        <f>IF(VLOOKUP($X56,'Table 2A'!$B$8:$H$67,'Table 2A'!Q$1,0)="","",VLOOKUP($X56,'Table 2A'!$B$8:$H$67,'Table 2A'!Q$1,0))</f>
        <v>#N/A</v>
      </c>
      <c r="W56" s="576" t="e">
        <f>IF(VLOOKUP($X56,'Table 2A'!$B$8:$H$67,'Table 2A'!R$1,0)="","",VLOOKUP($X56,'Table 2A'!$B$8:$H$67,'Table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2A'!$B$8:$B$67,1,0),"OK","check!!!!"),"check!!!!")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2A'!$B$8:$H$67,'Table 2A'!N$1,0)="","",VLOOKUP($X57,'Table 2A'!$B$8:$H$67,'Table 2A'!N$1,0))</f>
        <v>#N/A</v>
      </c>
      <c r="T57" s="576" t="e">
        <f>IF(VLOOKUP($X57,'Table 2A'!$B$8:$H$67,'Table 2A'!O$1,0)="","",VLOOKUP($X57,'Table 2A'!$B$8:$H$67,'Table 2A'!O$1,0))</f>
        <v>#N/A</v>
      </c>
      <c r="U57" s="576" t="e">
        <f>IF(VLOOKUP($X57,'Table 2A'!$B$8:$H$67,'Table 2A'!P$1,0)="","",VLOOKUP($X57,'Table 2A'!$B$8:$H$67,'Table 2A'!P$1,0))</f>
        <v>#N/A</v>
      </c>
      <c r="V57" s="576" t="e">
        <f>IF(VLOOKUP($X57,'Table 2A'!$B$8:$H$67,'Table 2A'!Q$1,0)="","",VLOOKUP($X57,'Table 2A'!$B$8:$H$67,'Table 2A'!Q$1,0))</f>
        <v>#N/A</v>
      </c>
      <c r="W57" s="576" t="e">
        <f>IF(VLOOKUP($X57,'Table 2A'!$B$8:$H$67,'Table 2A'!R$1,0)="","",VLOOKUP($X57,'Table 2A'!$B$8:$H$67,'Table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2A'!$B$8:$B$67,1,0),"OK","check!!!!"),"check!!!!")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2A'!$B$8:$H$67,'Table 2A'!N$1,0)="","",VLOOKUP($X58,'Table 2A'!$B$8:$H$67,'Table 2A'!N$1,0))</f>
        <v>#N/A</v>
      </c>
      <c r="T58" s="576" t="e">
        <f>IF(VLOOKUP($X58,'Table 2A'!$B$8:$H$67,'Table 2A'!O$1,0)="","",VLOOKUP($X58,'Table 2A'!$B$8:$H$67,'Table 2A'!O$1,0))</f>
        <v>#N/A</v>
      </c>
      <c r="U58" s="576" t="e">
        <f>IF(VLOOKUP($X58,'Table 2A'!$B$8:$H$67,'Table 2A'!P$1,0)="","",VLOOKUP($X58,'Table 2A'!$B$8:$H$67,'Table 2A'!P$1,0))</f>
        <v>#N/A</v>
      </c>
      <c r="V58" s="576" t="e">
        <f>IF(VLOOKUP($X58,'Table 2A'!$B$8:$H$67,'Table 2A'!Q$1,0)="","",VLOOKUP($X58,'Table 2A'!$B$8:$H$67,'Table 2A'!Q$1,0))</f>
        <v>#N/A</v>
      </c>
      <c r="W58" s="576" t="e">
        <f>IF(VLOOKUP($X58,'Table 2A'!$B$8:$H$67,'Table 2A'!R$1,0)="","",VLOOKUP($X58,'Table 2A'!$B$8:$H$67,'Table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2A'!$B$8:$B$67,1,0),"OK","check!!!!"),"check!!!!")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2A'!$B$8:$H$67,'Table 2A'!N$1,0)="","",VLOOKUP($X59,'Table 2A'!$B$8:$H$67,'Table 2A'!N$1,0))</f>
        <v>#N/A</v>
      </c>
      <c r="T59" s="576" t="e">
        <f>IF(VLOOKUP($X59,'Table 2A'!$B$8:$H$67,'Table 2A'!O$1,0)="","",VLOOKUP($X59,'Table 2A'!$B$8:$H$67,'Table 2A'!O$1,0))</f>
        <v>#N/A</v>
      </c>
      <c r="U59" s="576" t="e">
        <f>IF(VLOOKUP($X59,'Table 2A'!$B$8:$H$67,'Table 2A'!P$1,0)="","",VLOOKUP($X59,'Table 2A'!$B$8:$H$67,'Table 2A'!P$1,0))</f>
        <v>#N/A</v>
      </c>
      <c r="V59" s="576" t="e">
        <f>IF(VLOOKUP($X59,'Table 2A'!$B$8:$H$67,'Table 2A'!Q$1,0)="","",VLOOKUP($X59,'Table 2A'!$B$8:$H$67,'Table 2A'!Q$1,0))</f>
        <v>#N/A</v>
      </c>
      <c r="W59" s="576" t="e">
        <f>IF(VLOOKUP($X59,'Table 2A'!$B$8:$H$67,'Table 2A'!R$1,0)="","",VLOOKUP($X59,'Table 2A'!$B$8:$H$67,'Table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2A'!$B$8:$B$67,1,0),"OK","check!!!!"),"check!!!!")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2A'!$B$8:$H$67,'Table 2A'!N$1,0)="","",VLOOKUP($X60,'Table 2A'!$B$8:$H$67,'Table 2A'!N$1,0))</f>
        <v>#N/A</v>
      </c>
      <c r="T60" s="576" t="e">
        <f>IF(VLOOKUP($X60,'Table 2A'!$B$8:$H$67,'Table 2A'!O$1,0)="","",VLOOKUP($X60,'Table 2A'!$B$8:$H$67,'Table 2A'!O$1,0))</f>
        <v>#N/A</v>
      </c>
      <c r="U60" s="576" t="e">
        <f>IF(VLOOKUP($X60,'Table 2A'!$B$8:$H$67,'Table 2A'!P$1,0)="","",VLOOKUP($X60,'Table 2A'!$B$8:$H$67,'Table 2A'!P$1,0))</f>
        <v>#N/A</v>
      </c>
      <c r="V60" s="576" t="e">
        <f>IF(VLOOKUP($X60,'Table 2A'!$B$8:$H$67,'Table 2A'!Q$1,0)="","",VLOOKUP($X60,'Table 2A'!$B$8:$H$67,'Table 2A'!Q$1,0))</f>
        <v>#N/A</v>
      </c>
      <c r="W60" s="576" t="e">
        <f>IF(VLOOKUP($X60,'Table 2A'!$B$8:$H$67,'Table 2A'!R$1,0)="","",VLOOKUP($X60,'Table 2A'!$B$8:$H$67,'Table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2A'!$B$8:$B$67,1,0),"OK","check!!!!"),"check!!!!")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2A'!$B$8:$H$67,'Table 2A'!N$1,0)="","",VLOOKUP($X61,'Table 2A'!$B$8:$H$67,'Table 2A'!N$1,0))</f>
        <v>#N/A</v>
      </c>
      <c r="T61" s="576" t="e">
        <f>IF(VLOOKUP($X61,'Table 2A'!$B$8:$H$67,'Table 2A'!O$1,0)="","",VLOOKUP($X61,'Table 2A'!$B$8:$H$67,'Table 2A'!O$1,0))</f>
        <v>#N/A</v>
      </c>
      <c r="U61" s="576" t="e">
        <f>IF(VLOOKUP($X61,'Table 2A'!$B$8:$H$67,'Table 2A'!P$1,0)="","",VLOOKUP($X61,'Table 2A'!$B$8:$H$67,'Table 2A'!P$1,0))</f>
        <v>#N/A</v>
      </c>
      <c r="V61" s="576" t="e">
        <f>IF(VLOOKUP($X61,'Table 2A'!$B$8:$H$67,'Table 2A'!Q$1,0)="","",VLOOKUP($X61,'Table 2A'!$B$8:$H$67,'Table 2A'!Q$1,0))</f>
        <v>#N/A</v>
      </c>
      <c r="W61" s="576" t="e">
        <f>IF(VLOOKUP($X61,'Table 2A'!$B$8:$H$67,'Table 2A'!R$1,0)="","",VLOOKUP($X61,'Table 2A'!$B$8:$H$67,'Table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2A'!$B$8:$B$67,1,0),"OK","check!!!!"),"check!!!!")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2A'!$B$8:$H$67,'Table 2A'!N$1,0)="","",VLOOKUP($X62,'Table 2A'!$B$8:$H$67,'Table 2A'!N$1,0))</f>
        <v>#N/A</v>
      </c>
      <c r="T62" s="576" t="e">
        <f>IF(VLOOKUP($X62,'Table 2A'!$B$8:$H$67,'Table 2A'!O$1,0)="","",VLOOKUP($X62,'Table 2A'!$B$8:$H$67,'Table 2A'!O$1,0))</f>
        <v>#N/A</v>
      </c>
      <c r="U62" s="576" t="e">
        <f>IF(VLOOKUP($X62,'Table 2A'!$B$8:$H$67,'Table 2A'!P$1,0)="","",VLOOKUP($X62,'Table 2A'!$B$8:$H$67,'Table 2A'!P$1,0))</f>
        <v>#N/A</v>
      </c>
      <c r="V62" s="576" t="e">
        <f>IF(VLOOKUP($X62,'Table 2A'!$B$8:$H$67,'Table 2A'!Q$1,0)="","",VLOOKUP($X62,'Table 2A'!$B$8:$H$67,'Table 2A'!Q$1,0))</f>
        <v>#N/A</v>
      </c>
      <c r="W62" s="576" t="e">
        <f>IF(VLOOKUP($X62,'Table 2A'!$B$8:$H$67,'Table 2A'!R$1,0)="","",VLOOKUP($X62,'Table 2A'!$B$8:$H$67,'Table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2A'!$B$8:$B$67,1,0),"OK","check!!!!"),"check!!!!")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2A'!$B$8:$H$67,'Table 2A'!N$1,0)="","",VLOOKUP($X63,'Table 2A'!$B$8:$H$67,'Table 2A'!N$1,0))</f>
        <v>#N/A</v>
      </c>
      <c r="T63" s="576" t="e">
        <f>IF(VLOOKUP($X63,'Table 2A'!$B$8:$H$67,'Table 2A'!O$1,0)="","",VLOOKUP($X63,'Table 2A'!$B$8:$H$67,'Table 2A'!O$1,0))</f>
        <v>#N/A</v>
      </c>
      <c r="U63" s="576" t="e">
        <f>IF(VLOOKUP($X63,'Table 2A'!$B$8:$H$67,'Table 2A'!P$1,0)="","",VLOOKUP($X63,'Table 2A'!$B$8:$H$67,'Table 2A'!P$1,0))</f>
        <v>#N/A</v>
      </c>
      <c r="V63" s="576" t="e">
        <f>IF(VLOOKUP($X63,'Table 2A'!$B$8:$H$67,'Table 2A'!Q$1,0)="","",VLOOKUP($X63,'Table 2A'!$B$8:$H$67,'Table 2A'!Q$1,0))</f>
        <v>#N/A</v>
      </c>
      <c r="W63" s="576" t="e">
        <f>IF(VLOOKUP($X63,'Table 2A'!$B$8:$H$67,'Table 2A'!R$1,0)="","",VLOOKUP($X63,'Table 2A'!$B$8:$H$67,'Table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2A'!$B$8:$B$67,1,0),"OK","check!!!!"),"check!!!!")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2A'!$B$8:$H$67,'Table 2A'!N$1,0)="","",VLOOKUP($X64,'Table 2A'!$B$8:$H$67,'Table 2A'!N$1,0))</f>
        <v>#N/A</v>
      </c>
      <c r="T64" s="576" t="e">
        <f>IF(VLOOKUP($X64,'Table 2A'!$B$8:$H$67,'Table 2A'!O$1,0)="","",VLOOKUP($X64,'Table 2A'!$B$8:$H$67,'Table 2A'!O$1,0))</f>
        <v>#N/A</v>
      </c>
      <c r="U64" s="576" t="e">
        <f>IF(VLOOKUP($X64,'Table 2A'!$B$8:$H$67,'Table 2A'!P$1,0)="","",VLOOKUP($X64,'Table 2A'!$B$8:$H$67,'Table 2A'!P$1,0))</f>
        <v>#N/A</v>
      </c>
      <c r="V64" s="576" t="e">
        <f>IF(VLOOKUP($X64,'Table 2A'!$B$8:$H$67,'Table 2A'!Q$1,0)="","",VLOOKUP($X64,'Table 2A'!$B$8:$H$67,'Table 2A'!Q$1,0))</f>
        <v>#N/A</v>
      </c>
      <c r="W64" s="576" t="e">
        <f>IF(VLOOKUP($X64,'Table 2A'!$B$8:$H$67,'Table 2A'!R$1,0)="","",VLOOKUP($X64,'Table 2A'!$B$8:$H$67,'Table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2A'!$B$8:$B$67,1,0),"OK","check!!!!"),"check!!!!")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2A'!$B$8:$H$67,'Table 2A'!N$1,0)="","",VLOOKUP($X65,'Table 2A'!$B$8:$H$67,'Table 2A'!N$1,0))</f>
        <v>#N/A</v>
      </c>
      <c r="T65" s="576" t="e">
        <f>IF(VLOOKUP($X65,'Table 2A'!$B$8:$H$67,'Table 2A'!O$1,0)="","",VLOOKUP($X65,'Table 2A'!$B$8:$H$67,'Table 2A'!O$1,0))</f>
        <v>#N/A</v>
      </c>
      <c r="U65" s="576" t="e">
        <f>IF(VLOOKUP($X65,'Table 2A'!$B$8:$H$67,'Table 2A'!P$1,0)="","",VLOOKUP($X65,'Table 2A'!$B$8:$H$67,'Table 2A'!P$1,0))</f>
        <v>#N/A</v>
      </c>
      <c r="V65" s="576" t="e">
        <f>IF(VLOOKUP($X65,'Table 2A'!$B$8:$H$67,'Table 2A'!Q$1,0)="","",VLOOKUP($X65,'Table 2A'!$B$8:$H$67,'Table 2A'!Q$1,0))</f>
        <v>#N/A</v>
      </c>
      <c r="W65" s="576" t="e">
        <f>IF(VLOOKUP($X65,'Table 2A'!$B$8:$H$67,'Table 2A'!R$1,0)="","",VLOOKUP($X65,'Table 2A'!$B$8:$H$67,'Table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2A'!$B$8:$B$67,1,0),"OK","check!!!!"),"check!!!!")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2A'!$B$8:$H$67,'Table 2A'!N$1,0)="","",VLOOKUP($X66,'Table 2A'!$B$8:$H$67,'Table 2A'!N$1,0))</f>
        <v>#N/A</v>
      </c>
      <c r="T66" s="576" t="e">
        <f>IF(VLOOKUP($X66,'Table 2A'!$B$8:$H$67,'Table 2A'!O$1,0)="","",VLOOKUP($X66,'Table 2A'!$B$8:$H$67,'Table 2A'!O$1,0))</f>
        <v>#N/A</v>
      </c>
      <c r="U66" s="576" t="e">
        <f>IF(VLOOKUP($X66,'Table 2A'!$B$8:$H$67,'Table 2A'!P$1,0)="","",VLOOKUP($X66,'Table 2A'!$B$8:$H$67,'Table 2A'!P$1,0))</f>
        <v>#N/A</v>
      </c>
      <c r="V66" s="576" t="e">
        <f>IF(VLOOKUP($X66,'Table 2A'!$B$8:$H$67,'Table 2A'!Q$1,0)="","",VLOOKUP($X66,'Table 2A'!$B$8:$H$67,'Table 2A'!Q$1,0))</f>
        <v>#N/A</v>
      </c>
      <c r="W66" s="576" t="e">
        <f>IF(VLOOKUP($X66,'Table 2A'!$B$8:$H$67,'Table 2A'!R$1,0)="","",VLOOKUP($X66,'Table 2A'!$B$8:$H$67,'Table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2A'!$B$8:$B$67,1,0),"OK","check!!!!"),"check!!!!")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2A'!$B$8:$H$67,'Table 2A'!N$1,0)="","",VLOOKUP($X67,'Table 2A'!$B$8:$H$67,'Table 2A'!N$1,0))</f>
        <v>#N/A</v>
      </c>
      <c r="T67" s="576" t="e">
        <f>IF(VLOOKUP($X67,'Table 2A'!$B$8:$H$67,'Table 2A'!O$1,0)="","",VLOOKUP($X67,'Table 2A'!$B$8:$H$67,'Table 2A'!O$1,0))</f>
        <v>#N/A</v>
      </c>
      <c r="U67" s="576" t="e">
        <f>IF(VLOOKUP($X67,'Table 2A'!$B$8:$H$67,'Table 2A'!P$1,0)="","",VLOOKUP($X67,'Table 2A'!$B$8:$H$67,'Table 2A'!P$1,0))</f>
        <v>#N/A</v>
      </c>
      <c r="V67" s="576" t="e">
        <f>IF(VLOOKUP($X67,'Table 2A'!$B$8:$H$67,'Table 2A'!Q$1,0)="","",VLOOKUP($X67,'Table 2A'!$B$8:$H$67,'Table 2A'!Q$1,0))</f>
        <v>#N/A</v>
      </c>
      <c r="W67" s="576" t="e">
        <f>IF(VLOOKUP($X67,'Table 2A'!$B$8:$H$67,'Table 2A'!R$1,0)="","",VLOOKUP($X67,'Table 2A'!$B$8:$H$67,'Table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2A'!$B$8:$B$67,1,0),"OK","check!!!!"),"check!!!!")</f>
        <v>check!!!!</v>
      </c>
      <c r="AB67" s="577" t="str">
        <f>IF('Table 2A'!B37=X67,"ok","check!!!!")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2A'!$B$8:$H$67,'Table 2A'!N$1,0)="","",VLOOKUP($X68,'Table 2A'!$B$8:$H$67,'Table 2A'!N$1,0))</f>
        <v>#N/A</v>
      </c>
      <c r="T68" s="576" t="e">
        <f>IF(VLOOKUP($X68,'Table 2A'!$B$8:$H$67,'Table 2A'!O$1,0)="","",VLOOKUP($X68,'Table 2A'!$B$8:$H$67,'Table 2A'!O$1,0))</f>
        <v>#N/A</v>
      </c>
      <c r="U68" s="576" t="e">
        <f>IF(VLOOKUP($X68,'Table 2A'!$B$8:$H$67,'Table 2A'!P$1,0)="","",VLOOKUP($X68,'Table 2A'!$B$8:$H$67,'Table 2A'!P$1,0))</f>
        <v>#N/A</v>
      </c>
      <c r="V68" s="576" t="e">
        <f>IF(VLOOKUP($X68,'Table 2A'!$B$8:$H$67,'Table 2A'!Q$1,0)="","",VLOOKUP($X68,'Table 2A'!$B$8:$H$67,'Table 2A'!Q$1,0))</f>
        <v>#N/A</v>
      </c>
      <c r="W68" s="576" t="e">
        <f>IF(VLOOKUP($X68,'Table 2A'!$B$8:$H$67,'Table 2A'!R$1,0)="","",VLOOKUP($X68,'Table 2A'!$B$8:$H$67,'Table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2A'!$B$8:$B$67,1,0),"OK","check!!!!"),"check!!!!")</f>
        <v>check!!!!</v>
      </c>
      <c r="AB68" s="577" t="str">
        <f>IF('Table 2A'!B38=X68,"ok","check!!!!")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2A'!$B$8:$H$67,'Table 2A'!N$1,0)="","",VLOOKUP($X69,'Table 2A'!$B$8:$H$67,'Table 2A'!N$1,0))</f>
        <v>#N/A</v>
      </c>
      <c r="T69" s="576" t="e">
        <f>IF(VLOOKUP($X69,'Table 2A'!$B$8:$H$67,'Table 2A'!O$1,0)="","",VLOOKUP($X69,'Table 2A'!$B$8:$H$67,'Table 2A'!O$1,0))</f>
        <v>#N/A</v>
      </c>
      <c r="U69" s="576" t="e">
        <f>IF(VLOOKUP($X69,'Table 2A'!$B$8:$H$67,'Table 2A'!P$1,0)="","",VLOOKUP($X69,'Table 2A'!$B$8:$H$67,'Table 2A'!P$1,0))</f>
        <v>#N/A</v>
      </c>
      <c r="V69" s="576" t="e">
        <f>IF(VLOOKUP($X69,'Table 2A'!$B$8:$H$67,'Table 2A'!Q$1,0)="","",VLOOKUP($X69,'Table 2A'!$B$8:$H$67,'Table 2A'!Q$1,0))</f>
        <v>#N/A</v>
      </c>
      <c r="W69" s="576" t="e">
        <f>IF(VLOOKUP($X69,'Table 2A'!$B$8:$H$67,'Table 2A'!R$1,0)="","",VLOOKUP($X69,'Table 2A'!$B$8:$H$67,'Table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2A'!$B$8:$B$67,1,0),"OK","check!!!!"),"check!!!!")</f>
        <v>check!!!!</v>
      </c>
      <c r="AB69" s="577" t="str">
        <f>IF('Table 2A'!B39=X69,"ok","check!!!!")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2A'!$B$8:$H$67,'Table 2A'!N$1,0)="","",VLOOKUP($X70,'Table 2A'!$B$8:$H$67,'Table 2A'!N$1,0))</f>
        <v>#N/A</v>
      </c>
      <c r="T70" s="576" t="e">
        <f>IF(VLOOKUP($X70,'Table 2A'!$B$8:$H$67,'Table 2A'!O$1,0)="","",VLOOKUP($X70,'Table 2A'!$B$8:$H$67,'Table 2A'!O$1,0))</f>
        <v>#N/A</v>
      </c>
      <c r="U70" s="576" t="e">
        <f>IF(VLOOKUP($X70,'Table 2A'!$B$8:$H$67,'Table 2A'!P$1,0)="","",VLOOKUP($X70,'Table 2A'!$B$8:$H$67,'Table 2A'!P$1,0))</f>
        <v>#N/A</v>
      </c>
      <c r="V70" s="576" t="e">
        <f>IF(VLOOKUP($X70,'Table 2A'!$B$8:$H$67,'Table 2A'!Q$1,0)="","",VLOOKUP($X70,'Table 2A'!$B$8:$H$67,'Table 2A'!Q$1,0))</f>
        <v>#N/A</v>
      </c>
      <c r="W70" s="576" t="e">
        <f>IF(VLOOKUP($X70,'Table 2A'!$B$8:$H$67,'Table 2A'!R$1,0)="","",VLOOKUP($X70,'Table 2A'!$B$8:$H$67,'Table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2A'!$B$8:$B$67,1,0),"OK","check!!!!"),"check!!!!")</f>
        <v>check!!!!</v>
      </c>
      <c r="AB70" s="577" t="str">
        <f>IF('Table 2A'!B48=X70,"ok","check!!!!")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2A'!$B$8:$H$67,'Table 2A'!N$1,0)="","",VLOOKUP($X71,'Table 2A'!$B$8:$H$67,'Table 2A'!N$1,0))</f>
        <v>#N/A</v>
      </c>
      <c r="T71" s="576" t="e">
        <f>IF(VLOOKUP($X71,'Table 2A'!$B$8:$H$67,'Table 2A'!O$1,0)="","",VLOOKUP($X71,'Table 2A'!$B$8:$H$67,'Table 2A'!O$1,0))</f>
        <v>#N/A</v>
      </c>
      <c r="U71" s="576" t="e">
        <f>IF(VLOOKUP($X71,'Table 2A'!$B$8:$H$67,'Table 2A'!P$1,0)="","",VLOOKUP($X71,'Table 2A'!$B$8:$H$67,'Table 2A'!P$1,0))</f>
        <v>#N/A</v>
      </c>
      <c r="V71" s="576" t="e">
        <f>IF(VLOOKUP($X71,'Table 2A'!$B$8:$H$67,'Table 2A'!Q$1,0)="","",VLOOKUP($X71,'Table 2A'!$B$8:$H$67,'Table 2A'!Q$1,0))</f>
        <v>#N/A</v>
      </c>
      <c r="W71" s="576" t="e">
        <f>IF(VLOOKUP($X71,'Table 2A'!$B$8:$H$67,'Table 2A'!R$1,0)="","",VLOOKUP($X71,'Table 2A'!$B$8:$H$67,'Table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2A'!$B$8:$B$67,1,0),"OK","check!!!!"),"check!!!!")</f>
        <v>check!!!!</v>
      </c>
      <c r="AB71" s="577" t="str">
        <f>IF('Table 2A'!B50=X71,"ok","check!!!!")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2A'!$B$8:$H$67,'Table 2A'!N$1,0)="","",VLOOKUP($X72,'Table 2A'!$B$8:$H$67,'Table 2A'!N$1,0))</f>
        <v>#N/A</v>
      </c>
      <c r="T72" s="576" t="e">
        <f>IF(VLOOKUP($X72,'Table 2A'!$B$8:$H$67,'Table 2A'!O$1,0)="","",VLOOKUP($X72,'Table 2A'!$B$8:$H$67,'Table 2A'!O$1,0))</f>
        <v>#N/A</v>
      </c>
      <c r="U72" s="576" t="e">
        <f>IF(VLOOKUP($X72,'Table 2A'!$B$8:$H$67,'Table 2A'!P$1,0)="","",VLOOKUP($X72,'Table 2A'!$B$8:$H$67,'Table 2A'!P$1,0))</f>
        <v>#N/A</v>
      </c>
      <c r="V72" s="576" t="e">
        <f>IF(VLOOKUP($X72,'Table 2A'!$B$8:$H$67,'Table 2A'!Q$1,0)="","",VLOOKUP($X72,'Table 2A'!$B$8:$H$67,'Table 2A'!Q$1,0))</f>
        <v>#N/A</v>
      </c>
      <c r="W72" s="576" t="e">
        <f>IF(VLOOKUP($X72,'Table 2A'!$B$8:$H$67,'Table 2A'!R$1,0)="","",VLOOKUP($X72,'Table 2A'!$B$8:$H$67,'Table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2A'!$B$8:$B$67,1,0),"OK","check!!!!"),"check!!!!")</f>
        <v>check!!!!</v>
      </c>
      <c r="AB72" s="577" t="str">
        <f>IF('Table 2A'!B51=X72,"ok","check!!!!")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2A'!$B$8:$H$67,'Table 2A'!N$1,0)="","",VLOOKUP($X73,'Table 2A'!$B$8:$H$67,'Table 2A'!N$1,0))</f>
        <v>#N/A</v>
      </c>
      <c r="T73" s="576" t="e">
        <f>IF(VLOOKUP($X73,'Table 2A'!$B$8:$H$67,'Table 2A'!O$1,0)="","",VLOOKUP($X73,'Table 2A'!$B$8:$H$67,'Table 2A'!O$1,0))</f>
        <v>#N/A</v>
      </c>
      <c r="U73" s="576" t="e">
        <f>IF(VLOOKUP($X73,'Table 2A'!$B$8:$H$67,'Table 2A'!P$1,0)="","",VLOOKUP($X73,'Table 2A'!$B$8:$H$67,'Table 2A'!P$1,0))</f>
        <v>#N/A</v>
      </c>
      <c r="V73" s="576" t="e">
        <f>IF(VLOOKUP($X73,'Table 2A'!$B$8:$H$67,'Table 2A'!Q$1,0)="","",VLOOKUP($X73,'Table 2A'!$B$8:$H$67,'Table 2A'!Q$1,0))</f>
        <v>#N/A</v>
      </c>
      <c r="W73" s="576" t="e">
        <f>IF(VLOOKUP($X73,'Table 2A'!$B$8:$H$67,'Table 2A'!R$1,0)="","",VLOOKUP($X73,'Table 2A'!$B$8:$H$67,'Table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2A'!$B$8:$B$67,1,0),"OK","check!!!!"),"check!!!!")</f>
        <v>check!!!!</v>
      </c>
      <c r="AB73" s="577" t="str">
        <f>IF('Table 2A'!B52=X73,"ok","check!!!!")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2A'!$B$8:$H$67,'Table 2A'!N$1,0)="","",VLOOKUP($X74,'Table 2A'!$B$8:$H$67,'Table 2A'!N$1,0))</f>
        <v>#N/A</v>
      </c>
      <c r="T74" s="576" t="e">
        <f>IF(VLOOKUP($X74,'Table 2A'!$B$8:$H$67,'Table 2A'!O$1,0)="","",VLOOKUP($X74,'Table 2A'!$B$8:$H$67,'Table 2A'!O$1,0))</f>
        <v>#N/A</v>
      </c>
      <c r="U74" s="576" t="e">
        <f>IF(VLOOKUP($X74,'Table 2A'!$B$8:$H$67,'Table 2A'!P$1,0)="","",VLOOKUP($X74,'Table 2A'!$B$8:$H$67,'Table 2A'!P$1,0))</f>
        <v>#N/A</v>
      </c>
      <c r="V74" s="576" t="e">
        <f>IF(VLOOKUP($X74,'Table 2A'!$B$8:$H$67,'Table 2A'!Q$1,0)="","",VLOOKUP($X74,'Table 2A'!$B$8:$H$67,'Table 2A'!Q$1,0))</f>
        <v>#N/A</v>
      </c>
      <c r="W74" s="576" t="e">
        <f>IF(VLOOKUP($X74,'Table 2A'!$B$8:$H$67,'Table 2A'!R$1,0)="","",VLOOKUP($X74,'Table 2A'!$B$8:$H$67,'Table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2A'!$B$8:$B$67,1,0),"OK","check!!!!"),"check!!!!")</f>
        <v>check!!!!</v>
      </c>
      <c r="AB74" s="577" t="str">
        <f>IF('Table 2A'!B53=X74,"ok","check!!!!")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2A'!$B$8:$H$67,'Table 2A'!N$1,0)="","",VLOOKUP($X75,'Table 2A'!$B$8:$H$67,'Table 2A'!N$1,0))</f>
        <v>#N/A</v>
      </c>
      <c r="T75" s="576" t="e">
        <f>IF(VLOOKUP($X75,'Table 2A'!$B$8:$H$67,'Table 2A'!O$1,0)="","",VLOOKUP($X75,'Table 2A'!$B$8:$H$67,'Table 2A'!O$1,0))</f>
        <v>#N/A</v>
      </c>
      <c r="U75" s="576" t="e">
        <f>IF(VLOOKUP($X75,'Table 2A'!$B$8:$H$67,'Table 2A'!P$1,0)="","",VLOOKUP($X75,'Table 2A'!$B$8:$H$67,'Table 2A'!P$1,0))</f>
        <v>#N/A</v>
      </c>
      <c r="V75" s="576" t="e">
        <f>IF(VLOOKUP($X75,'Table 2A'!$B$8:$H$67,'Table 2A'!Q$1,0)="","",VLOOKUP($X75,'Table 2A'!$B$8:$H$67,'Table 2A'!Q$1,0))</f>
        <v>#N/A</v>
      </c>
      <c r="W75" s="576" t="e">
        <f>IF(VLOOKUP($X75,'Table 2A'!$B$8:$H$67,'Table 2A'!R$1,0)="","",VLOOKUP($X75,'Table 2A'!$B$8:$H$67,'Table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2A'!$B$8:$B$67,1,0),"OK","check!!!!"),"check!!!!")</f>
        <v>check!!!!</v>
      </c>
      <c r="AB75" s="577" t="str">
        <f>IF('Table 2A'!B55=X75,"ok","check!!!!")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2A'!$B$8:$H$67,'Table 2A'!N$1,0)="","",VLOOKUP($X76,'Table 2A'!$B$8:$H$67,'Table 2A'!N$1,0))</f>
        <v>#N/A</v>
      </c>
      <c r="T76" s="576" t="e">
        <f>IF(VLOOKUP($X76,'Table 2A'!$B$8:$H$67,'Table 2A'!O$1,0)="","",VLOOKUP($X76,'Table 2A'!$B$8:$H$67,'Table 2A'!O$1,0))</f>
        <v>#N/A</v>
      </c>
      <c r="U76" s="576" t="e">
        <f>IF(VLOOKUP($X76,'Table 2A'!$B$8:$H$67,'Table 2A'!P$1,0)="","",VLOOKUP($X76,'Table 2A'!$B$8:$H$67,'Table 2A'!P$1,0))</f>
        <v>#N/A</v>
      </c>
      <c r="V76" s="576" t="e">
        <f>IF(VLOOKUP($X76,'Table 2A'!$B$8:$H$67,'Table 2A'!Q$1,0)="","",VLOOKUP($X76,'Table 2A'!$B$8:$H$67,'Table 2A'!Q$1,0))</f>
        <v>#N/A</v>
      </c>
      <c r="W76" s="576" t="e">
        <f>IF(VLOOKUP($X76,'Table 2A'!$B$8:$H$67,'Table 2A'!R$1,0)="","",VLOOKUP($X76,'Table 2A'!$B$8:$H$67,'Table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2A'!$B$8:$B$67,1,0),"OK","check!!!!"),"check!!!!")</f>
        <v>check!!!!</v>
      </c>
      <c r="AB76" s="577" t="str">
        <f>IF('Table 2A'!B56=X76,"ok","check!!!!")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2A'!$B$8:$H$67,'Table 2A'!N$1,0)="","",VLOOKUP($X77,'Table 2A'!$B$8:$H$67,'Table 2A'!N$1,0))</f>
        <v>#N/A</v>
      </c>
      <c r="T77" s="576" t="e">
        <f>IF(VLOOKUP($X77,'Table 2A'!$B$8:$H$67,'Table 2A'!O$1,0)="","",VLOOKUP($X77,'Table 2A'!$B$8:$H$67,'Table 2A'!O$1,0))</f>
        <v>#N/A</v>
      </c>
      <c r="U77" s="576" t="e">
        <f>IF(VLOOKUP($X77,'Table 2A'!$B$8:$H$67,'Table 2A'!P$1,0)="","",VLOOKUP($X77,'Table 2A'!$B$8:$H$67,'Table 2A'!P$1,0))</f>
        <v>#N/A</v>
      </c>
      <c r="V77" s="576" t="e">
        <f>IF(VLOOKUP($X77,'Table 2A'!$B$8:$H$67,'Table 2A'!Q$1,0)="","",VLOOKUP($X77,'Table 2A'!$B$8:$H$67,'Table 2A'!Q$1,0))</f>
        <v>#N/A</v>
      </c>
      <c r="W77" s="576" t="e">
        <f>IF(VLOOKUP($X77,'Table 2A'!$B$8:$H$67,'Table 2A'!R$1,0)="","",VLOOKUP($X77,'Table 2A'!$B$8:$H$67,'Table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2A'!$B$8:$B$67,1,0),"OK","check!!!!"),"check!!!!")</f>
        <v>check!!!!</v>
      </c>
      <c r="AB77" s="577" t="str">
        <f>IF('Table 2A'!B57=X77,"ok","check!!!!")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2A'!$B$8:$H$67,'Table 2A'!N$1,0)="","",VLOOKUP($X78,'Table 2A'!$B$8:$H$67,'Table 2A'!N$1,0))</f>
        <v>#N/A</v>
      </c>
      <c r="T78" s="576" t="e">
        <f>IF(VLOOKUP($X78,'Table 2A'!$B$8:$H$67,'Table 2A'!O$1,0)="","",VLOOKUP($X78,'Table 2A'!$B$8:$H$67,'Table 2A'!O$1,0))</f>
        <v>#N/A</v>
      </c>
      <c r="U78" s="576" t="e">
        <f>IF(VLOOKUP($X78,'Table 2A'!$B$8:$H$67,'Table 2A'!P$1,0)="","",VLOOKUP($X78,'Table 2A'!$B$8:$H$67,'Table 2A'!P$1,0))</f>
        <v>#N/A</v>
      </c>
      <c r="V78" s="576" t="e">
        <f>IF(VLOOKUP($X78,'Table 2A'!$B$8:$H$67,'Table 2A'!Q$1,0)="","",VLOOKUP($X78,'Table 2A'!$B$8:$H$67,'Table 2A'!Q$1,0))</f>
        <v>#N/A</v>
      </c>
      <c r="W78" s="576" t="e">
        <f>IF(VLOOKUP($X78,'Table 2A'!$B$8:$H$67,'Table 2A'!R$1,0)="","",VLOOKUP($X78,'Table 2A'!$B$8:$H$67,'Table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2A'!$B$8:$B$67,1,0),"OK","check!!!!"),"check!!!!")</f>
        <v>check!!!!</v>
      </c>
      <c r="AB78" s="577" t="str">
        <f>IF('Table 2A'!B62=X78,"ok","check!!!!")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2A'!$B$8:$H$67,'Table 2A'!N$1,0)="","",VLOOKUP($X79,'Table 2A'!$B$8:$H$67,'Table 2A'!N$1,0))</f>
        <v>#N/A</v>
      </c>
      <c r="T79" s="576" t="e">
        <f>IF(VLOOKUP($X79,'Table 2A'!$B$8:$H$67,'Table 2A'!O$1,0)="","",VLOOKUP($X79,'Table 2A'!$B$8:$H$67,'Table 2A'!O$1,0))</f>
        <v>#N/A</v>
      </c>
      <c r="U79" s="576" t="e">
        <f>IF(VLOOKUP($X79,'Table 2A'!$B$8:$H$67,'Table 2A'!P$1,0)="","",VLOOKUP($X79,'Table 2A'!$B$8:$H$67,'Table 2A'!P$1,0))</f>
        <v>#N/A</v>
      </c>
      <c r="V79" s="576" t="e">
        <f>IF(VLOOKUP($X79,'Table 2A'!$B$8:$H$67,'Table 2A'!Q$1,0)="","",VLOOKUP($X79,'Table 2A'!$B$8:$H$67,'Table 2A'!Q$1,0))</f>
        <v>#N/A</v>
      </c>
      <c r="W79" s="576" t="e">
        <f>IF(VLOOKUP($X79,'Table 2A'!$B$8:$H$67,'Table 2A'!R$1,0)="","",VLOOKUP($X79,'Table 2A'!$B$8:$H$67,'Table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2A'!$B$8:$B$67,1,0),"OK","check!!!!"),"check!!!!")</f>
        <v>check!!!!</v>
      </c>
      <c r="AB79" s="577" t="str">
        <f>IF('Table 2A'!B63=X79,"ok","check!!!!")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2A'!$B$8:$H$67,'Table 2A'!N$1,0)="","",VLOOKUP($X80,'Table 2A'!$B$8:$H$67,'Table 2A'!N$1,0))</f>
        <v>#N/A</v>
      </c>
      <c r="T80" s="576" t="e">
        <f>IF(VLOOKUP($X80,'Table 2A'!$B$8:$H$67,'Table 2A'!O$1,0)="","",VLOOKUP($X80,'Table 2A'!$B$8:$H$67,'Table 2A'!O$1,0))</f>
        <v>#N/A</v>
      </c>
      <c r="U80" s="576" t="e">
        <f>IF(VLOOKUP($X80,'Table 2A'!$B$8:$H$67,'Table 2A'!P$1,0)="","",VLOOKUP($X80,'Table 2A'!$B$8:$H$67,'Table 2A'!P$1,0))</f>
        <v>#N/A</v>
      </c>
      <c r="V80" s="576" t="e">
        <f>IF(VLOOKUP($X80,'Table 2A'!$B$8:$H$67,'Table 2A'!Q$1,0)="","",VLOOKUP($X80,'Table 2A'!$B$8:$H$67,'Table 2A'!Q$1,0))</f>
        <v>#N/A</v>
      </c>
      <c r="W80" s="576" t="e">
        <f>IF(VLOOKUP($X80,'Table 2A'!$B$8:$H$67,'Table 2A'!R$1,0)="","",VLOOKUP($X80,'Table 2A'!$B$8:$H$67,'Table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2A'!$B$8:$B$67,1,0),"OK","check!!!!"),"check!!!!")</f>
        <v>check!!!!</v>
      </c>
      <c r="AB80" s="577" t="str">
        <f>IF('Table 2A'!B65=X80,"ok","check!!!!")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2A'!$B$8:$H$67,'Table 2A'!N$1,0)="","",VLOOKUP($X81,'Table 2A'!$B$8:$H$67,'Table 2A'!N$1,0))</f>
        <v>#N/A</v>
      </c>
      <c r="T81" s="576" t="e">
        <f>IF(VLOOKUP($X81,'Table 2A'!$B$8:$H$67,'Table 2A'!O$1,0)="","",VLOOKUP($X81,'Table 2A'!$B$8:$H$67,'Table 2A'!O$1,0))</f>
        <v>#N/A</v>
      </c>
      <c r="U81" s="576" t="e">
        <f>IF(VLOOKUP($X81,'Table 2A'!$B$8:$H$67,'Table 2A'!P$1,0)="","",VLOOKUP($X81,'Table 2A'!$B$8:$H$67,'Table 2A'!P$1,0))</f>
        <v>#N/A</v>
      </c>
      <c r="V81" s="576" t="e">
        <f>IF(VLOOKUP($X81,'Table 2A'!$B$8:$H$67,'Table 2A'!Q$1,0)="","",VLOOKUP($X81,'Table 2A'!$B$8:$H$67,'Table 2A'!Q$1,0))</f>
        <v>#N/A</v>
      </c>
      <c r="W81" s="576" t="e">
        <f>IF(VLOOKUP($X81,'Table 2A'!$B$8:$H$67,'Table 2A'!R$1,0)="","",VLOOKUP($X81,'Table 2A'!$B$8:$H$67,'Table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2A'!$B$8:$B$67,1,0),"OK","check!!!!"),"check!!!!")</f>
        <v>check!!!!</v>
      </c>
      <c r="AB81" s="577" t="str">
        <f>IF('Table 2A'!B67=X81,"ok","check!!!!")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2C'!$B$8:$H$46,'Table 2C'!N$1,0)="","",VLOOKUP($X110,'Table 2C'!$B$8:$H$46,'Table 2C'!N$1,0))</f>
        <v>#N/A</v>
      </c>
      <c r="T110" s="583" t="e">
        <f>IF(VLOOKUP($X110,'Table 2C'!$B$8:$H$46,'Table 2C'!O$1,0)="","",VLOOKUP($X110,'Table 2C'!$B$8:$H$46,'Table 2C'!O$1,0))</f>
        <v>#N/A</v>
      </c>
      <c r="U110" s="583" t="e">
        <f>IF(VLOOKUP($X110,'Table 2C'!$B$8:$H$46,'Table 2C'!P$1,0)="","",VLOOKUP($X110,'Table 2C'!$B$8:$H$46,'Table 2C'!P$1,0))</f>
        <v>#N/A</v>
      </c>
      <c r="V110" s="583" t="e">
        <f>IF(VLOOKUP($X110,'Table 2C'!$B$8:$H$46,'Table 2C'!Q$1,0)="","",VLOOKUP($X110,'Table 2C'!$B$8:$H$46,'Table 2C'!Q$1,0))</f>
        <v>#N/A</v>
      </c>
      <c r="W110" s="583" t="e">
        <f>IF(VLOOKUP($X110,'Table 2C'!$B$8:$H$46,'Table 2C'!R$1,0)="","",VLOOKUP($X110,'Table 2C'!$B$8:$H$46,'Table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2C'!$B$8:$B$46,1,0),"OK","check!!!!"),"check!!!!")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2C'!$B$8:$H$46,'Table 2C'!N$1,0)="","",VLOOKUP($X111,'Table 2C'!$B$8:$H$46,'Table 2C'!N$1,0))</f>
        <v>#N/A</v>
      </c>
      <c r="T111" s="583" t="e">
        <f>IF(VLOOKUP($X111,'Table 2C'!$B$8:$H$46,'Table 2C'!O$1,0)="","",VLOOKUP($X111,'Table 2C'!$B$8:$H$46,'Table 2C'!O$1,0))</f>
        <v>#N/A</v>
      </c>
      <c r="U111" s="583" t="e">
        <f>IF(VLOOKUP($X111,'Table 2C'!$B$8:$H$46,'Table 2C'!P$1,0)="","",VLOOKUP($X111,'Table 2C'!$B$8:$H$46,'Table 2C'!P$1,0))</f>
        <v>#N/A</v>
      </c>
      <c r="V111" s="583" t="e">
        <f>IF(VLOOKUP($X111,'Table 2C'!$B$8:$H$46,'Table 2C'!Q$1,0)="","",VLOOKUP($X111,'Table 2C'!$B$8:$H$46,'Table 2C'!Q$1,0))</f>
        <v>#N/A</v>
      </c>
      <c r="W111" s="583" t="e">
        <f>IF(VLOOKUP($X111,'Table 2C'!$B$8:$H$46,'Table 2C'!R$1,0)="","",VLOOKUP($X111,'Table 2C'!$B$8:$H$46,'Table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2C'!$B$8:$B$46,1,0),"OK","check!!!!"),"check!!!!")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2C'!$B$8:$H$46,'Table 2C'!N$1,0)="","",VLOOKUP($X112,'Table 2C'!$B$8:$H$46,'Table 2C'!N$1,0))</f>
        <v>#N/A</v>
      </c>
      <c r="T112" s="583" t="e">
        <f>IF(VLOOKUP($X112,'Table 2C'!$B$8:$H$46,'Table 2C'!O$1,0)="","",VLOOKUP($X112,'Table 2C'!$B$8:$H$46,'Table 2C'!O$1,0))</f>
        <v>#N/A</v>
      </c>
      <c r="U112" s="583" t="e">
        <f>IF(VLOOKUP($X112,'Table 2C'!$B$8:$H$46,'Table 2C'!P$1,0)="","",VLOOKUP($X112,'Table 2C'!$B$8:$H$46,'Table 2C'!P$1,0))</f>
        <v>#N/A</v>
      </c>
      <c r="V112" s="583" t="e">
        <f>IF(VLOOKUP($X112,'Table 2C'!$B$8:$H$46,'Table 2C'!Q$1,0)="","",VLOOKUP($X112,'Table 2C'!$B$8:$H$46,'Table 2C'!Q$1,0))</f>
        <v>#N/A</v>
      </c>
      <c r="W112" s="583" t="e">
        <f>IF(VLOOKUP($X112,'Table 2C'!$B$8:$H$46,'Table 2C'!R$1,0)="","",VLOOKUP($X112,'Table 2C'!$B$8:$H$46,'Table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2C'!$B$8:$B$46,1,0),"OK","check!!!!"),"check!!!!")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2C'!$B$8:$H$46,'Table 2C'!N$1,0)="","",VLOOKUP($X113,'Table 2C'!$B$8:$H$46,'Table 2C'!N$1,0))</f>
        <v>#N/A</v>
      </c>
      <c r="T113" s="583" t="e">
        <f>IF(VLOOKUP($X113,'Table 2C'!$B$8:$H$46,'Table 2C'!O$1,0)="","",VLOOKUP($X113,'Table 2C'!$B$8:$H$46,'Table 2C'!O$1,0))</f>
        <v>#N/A</v>
      </c>
      <c r="U113" s="583" t="e">
        <f>IF(VLOOKUP($X113,'Table 2C'!$B$8:$H$46,'Table 2C'!P$1,0)="","",VLOOKUP($X113,'Table 2C'!$B$8:$H$46,'Table 2C'!P$1,0))</f>
        <v>#N/A</v>
      </c>
      <c r="V113" s="583" t="e">
        <f>IF(VLOOKUP($X113,'Table 2C'!$B$8:$H$46,'Table 2C'!Q$1,0)="","",VLOOKUP($X113,'Table 2C'!$B$8:$H$46,'Table 2C'!Q$1,0))</f>
        <v>#N/A</v>
      </c>
      <c r="W113" s="583" t="e">
        <f>IF(VLOOKUP($X113,'Table 2C'!$B$8:$H$46,'Table 2C'!R$1,0)="","",VLOOKUP($X113,'Table 2C'!$B$8:$H$46,'Table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2C'!$B$8:$B$46,1,0),"OK","check!!!!"),"check!!!!")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2C'!$B$8:$H$46,'Table 2C'!N$1,0)="","",VLOOKUP($X114,'Table 2C'!$B$8:$H$46,'Table 2C'!N$1,0))</f>
        <v>#N/A</v>
      </c>
      <c r="T114" s="583" t="e">
        <f>IF(VLOOKUP($X114,'Table 2C'!$B$8:$H$46,'Table 2C'!O$1,0)="","",VLOOKUP($X114,'Table 2C'!$B$8:$H$46,'Table 2C'!O$1,0))</f>
        <v>#N/A</v>
      </c>
      <c r="U114" s="583" t="e">
        <f>IF(VLOOKUP($X114,'Table 2C'!$B$8:$H$46,'Table 2C'!P$1,0)="","",VLOOKUP($X114,'Table 2C'!$B$8:$H$46,'Table 2C'!P$1,0))</f>
        <v>#N/A</v>
      </c>
      <c r="V114" s="583" t="e">
        <f>IF(VLOOKUP($X114,'Table 2C'!$B$8:$H$46,'Table 2C'!Q$1,0)="","",VLOOKUP($X114,'Table 2C'!$B$8:$H$46,'Table 2C'!Q$1,0))</f>
        <v>#N/A</v>
      </c>
      <c r="W114" s="583" t="e">
        <f>IF(VLOOKUP($X114,'Table 2C'!$B$8:$H$46,'Table 2C'!R$1,0)="","",VLOOKUP($X114,'Table 2C'!$B$8:$H$46,'Table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2C'!$B$8:$B$46,1,0),"OK","check!!!!"),"check!!!!")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2C'!$B$8:$H$46,'Table 2C'!N$1,0)="","",VLOOKUP($X115,'Table 2C'!$B$8:$H$46,'Table 2C'!N$1,0))</f>
        <v>#N/A</v>
      </c>
      <c r="T115" s="583" t="e">
        <f>IF(VLOOKUP($X115,'Table 2C'!$B$8:$H$46,'Table 2C'!O$1,0)="","",VLOOKUP($X115,'Table 2C'!$B$8:$H$46,'Table 2C'!O$1,0))</f>
        <v>#N/A</v>
      </c>
      <c r="U115" s="583" t="e">
        <f>IF(VLOOKUP($X115,'Table 2C'!$B$8:$H$46,'Table 2C'!P$1,0)="","",VLOOKUP($X115,'Table 2C'!$B$8:$H$46,'Table 2C'!P$1,0))</f>
        <v>#N/A</v>
      </c>
      <c r="V115" s="583" t="e">
        <f>IF(VLOOKUP($X115,'Table 2C'!$B$8:$H$46,'Table 2C'!Q$1,0)="","",VLOOKUP($X115,'Table 2C'!$B$8:$H$46,'Table 2C'!Q$1,0))</f>
        <v>#N/A</v>
      </c>
      <c r="W115" s="583" t="e">
        <f>IF(VLOOKUP($X115,'Table 2C'!$B$8:$H$46,'Table 2C'!R$1,0)="","",VLOOKUP($X115,'Table 2C'!$B$8:$H$46,'Table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2C'!$B$8:$B$46,1,0),"OK","check!!!!"),"check!!!!")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2C'!$B$8:$H$46,'Table 2C'!N$1,0)="","",VLOOKUP($X116,'Table 2C'!$B$8:$H$46,'Table 2C'!N$1,0))</f>
        <v>#N/A</v>
      </c>
      <c r="T116" s="583" t="e">
        <f>IF(VLOOKUP($X116,'Table 2C'!$B$8:$H$46,'Table 2C'!O$1,0)="","",VLOOKUP($X116,'Table 2C'!$B$8:$H$46,'Table 2C'!O$1,0))</f>
        <v>#N/A</v>
      </c>
      <c r="U116" s="583" t="e">
        <f>IF(VLOOKUP($X116,'Table 2C'!$B$8:$H$46,'Table 2C'!P$1,0)="","",VLOOKUP($X116,'Table 2C'!$B$8:$H$46,'Table 2C'!P$1,0))</f>
        <v>#N/A</v>
      </c>
      <c r="V116" s="583" t="e">
        <f>IF(VLOOKUP($X116,'Table 2C'!$B$8:$H$46,'Table 2C'!Q$1,0)="","",VLOOKUP($X116,'Table 2C'!$B$8:$H$46,'Table 2C'!Q$1,0))</f>
        <v>#N/A</v>
      </c>
      <c r="W116" s="583" t="e">
        <f>IF(VLOOKUP($X116,'Table 2C'!$B$8:$H$46,'Table 2C'!R$1,0)="","",VLOOKUP($X116,'Table 2C'!$B$8:$H$46,'Table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2C'!$B$8:$B$46,1,0),"OK","check!!!!"),"check!!!!")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2C'!$B$8:$H$46,'Table 2C'!N$1,0)="","",VLOOKUP($X117,'Table 2C'!$B$8:$H$46,'Table 2C'!N$1,0))</f>
        <v>#N/A</v>
      </c>
      <c r="T117" s="583" t="e">
        <f>IF(VLOOKUP($X117,'Table 2C'!$B$8:$H$46,'Table 2C'!O$1,0)="","",VLOOKUP($X117,'Table 2C'!$B$8:$H$46,'Table 2C'!O$1,0))</f>
        <v>#N/A</v>
      </c>
      <c r="U117" s="583" t="e">
        <f>IF(VLOOKUP($X117,'Table 2C'!$B$8:$H$46,'Table 2C'!P$1,0)="","",VLOOKUP($X117,'Table 2C'!$B$8:$H$46,'Table 2C'!P$1,0))</f>
        <v>#N/A</v>
      </c>
      <c r="V117" s="583" t="e">
        <f>IF(VLOOKUP($X117,'Table 2C'!$B$8:$H$46,'Table 2C'!Q$1,0)="","",VLOOKUP($X117,'Table 2C'!$B$8:$H$46,'Table 2C'!Q$1,0))</f>
        <v>#N/A</v>
      </c>
      <c r="W117" s="583" t="e">
        <f>IF(VLOOKUP($X117,'Table 2C'!$B$8:$H$46,'Table 2C'!R$1,0)="","",VLOOKUP($X117,'Table 2C'!$B$8:$H$46,'Table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2C'!$B$8:$B$46,1,0),"OK","check!!!!"),"check!!!!")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2C'!$B$8:$H$46,'Table 2C'!N$1,0)="","",VLOOKUP($X118,'Table 2C'!$B$8:$H$46,'Table 2C'!N$1,0))</f>
        <v>#N/A</v>
      </c>
      <c r="T118" s="583" t="e">
        <f>IF(VLOOKUP($X118,'Table 2C'!$B$8:$H$46,'Table 2C'!O$1,0)="","",VLOOKUP($X118,'Table 2C'!$B$8:$H$46,'Table 2C'!O$1,0))</f>
        <v>#N/A</v>
      </c>
      <c r="U118" s="583" t="e">
        <f>IF(VLOOKUP($X118,'Table 2C'!$B$8:$H$46,'Table 2C'!P$1,0)="","",VLOOKUP($X118,'Table 2C'!$B$8:$H$46,'Table 2C'!P$1,0))</f>
        <v>#N/A</v>
      </c>
      <c r="V118" s="583" t="e">
        <f>IF(VLOOKUP($X118,'Table 2C'!$B$8:$H$46,'Table 2C'!Q$1,0)="","",VLOOKUP($X118,'Table 2C'!$B$8:$H$46,'Table 2C'!Q$1,0))</f>
        <v>#N/A</v>
      </c>
      <c r="W118" s="583" t="e">
        <f>IF(VLOOKUP($X118,'Table 2C'!$B$8:$H$46,'Table 2C'!R$1,0)="","",VLOOKUP($X118,'Table 2C'!$B$8:$H$46,'Table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2C'!$B$8:$B$46,1,0),"OK","check!!!!"),"check!!!!")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2C'!$B$8:$H$46,'Table 2C'!N$1,0)="","",VLOOKUP($X119,'Table 2C'!$B$8:$H$46,'Table 2C'!N$1,0))</f>
        <v>#N/A</v>
      </c>
      <c r="T119" s="583" t="e">
        <f>IF(VLOOKUP($X119,'Table 2C'!$B$8:$H$46,'Table 2C'!O$1,0)="","",VLOOKUP($X119,'Table 2C'!$B$8:$H$46,'Table 2C'!O$1,0))</f>
        <v>#N/A</v>
      </c>
      <c r="U119" s="583" t="e">
        <f>IF(VLOOKUP($X119,'Table 2C'!$B$8:$H$46,'Table 2C'!P$1,0)="","",VLOOKUP($X119,'Table 2C'!$B$8:$H$46,'Table 2C'!P$1,0))</f>
        <v>#N/A</v>
      </c>
      <c r="V119" s="583" t="e">
        <f>IF(VLOOKUP($X119,'Table 2C'!$B$8:$H$46,'Table 2C'!Q$1,0)="","",VLOOKUP($X119,'Table 2C'!$B$8:$H$46,'Table 2C'!Q$1,0))</f>
        <v>#N/A</v>
      </c>
      <c r="W119" s="583" t="e">
        <f>IF(VLOOKUP($X119,'Table 2C'!$B$8:$H$46,'Table 2C'!R$1,0)="","",VLOOKUP($X119,'Table 2C'!$B$8:$H$46,'Table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2C'!$B$8:$B$46,1,0),"OK","check!!!!"),"check!!!!")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2C'!$B$8:$H$46,'Table 2C'!N$1,0)="","",VLOOKUP($X120,'Table 2C'!$B$8:$H$46,'Table 2C'!N$1,0))</f>
        <v>#N/A</v>
      </c>
      <c r="T120" s="583" t="e">
        <f>IF(VLOOKUP($X120,'Table 2C'!$B$8:$H$46,'Table 2C'!O$1,0)="","",VLOOKUP($X120,'Table 2C'!$B$8:$H$46,'Table 2C'!O$1,0))</f>
        <v>#N/A</v>
      </c>
      <c r="U120" s="583" t="e">
        <f>IF(VLOOKUP($X120,'Table 2C'!$B$8:$H$46,'Table 2C'!P$1,0)="","",VLOOKUP($X120,'Table 2C'!$B$8:$H$46,'Table 2C'!P$1,0))</f>
        <v>#N/A</v>
      </c>
      <c r="V120" s="583" t="e">
        <f>IF(VLOOKUP($X120,'Table 2C'!$B$8:$H$46,'Table 2C'!Q$1,0)="","",VLOOKUP($X120,'Table 2C'!$B$8:$H$46,'Table 2C'!Q$1,0))</f>
        <v>#N/A</v>
      </c>
      <c r="W120" s="583" t="e">
        <f>IF(VLOOKUP($X120,'Table 2C'!$B$8:$H$46,'Table 2C'!R$1,0)="","",VLOOKUP($X120,'Table 2C'!$B$8:$H$46,'Table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2C'!$B$8:$B$46,1,0),"OK","check!!!!"),"check!!!!")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2C'!$B$8:$H$46,'Table 2C'!N$1,0)="","",VLOOKUP($X121,'Table 2C'!$B$8:$H$46,'Table 2C'!N$1,0))</f>
        <v>#N/A</v>
      </c>
      <c r="T121" s="583" t="e">
        <f>IF(VLOOKUP($X121,'Table 2C'!$B$8:$H$46,'Table 2C'!O$1,0)="","",VLOOKUP($X121,'Table 2C'!$B$8:$H$46,'Table 2C'!O$1,0))</f>
        <v>#N/A</v>
      </c>
      <c r="U121" s="583" t="e">
        <f>IF(VLOOKUP($X121,'Table 2C'!$B$8:$H$46,'Table 2C'!P$1,0)="","",VLOOKUP($X121,'Table 2C'!$B$8:$H$46,'Table 2C'!P$1,0))</f>
        <v>#N/A</v>
      </c>
      <c r="V121" s="583" t="e">
        <f>IF(VLOOKUP($X121,'Table 2C'!$B$8:$H$46,'Table 2C'!Q$1,0)="","",VLOOKUP($X121,'Table 2C'!$B$8:$H$46,'Table 2C'!Q$1,0))</f>
        <v>#N/A</v>
      </c>
      <c r="W121" s="583" t="e">
        <f>IF(VLOOKUP($X121,'Table 2C'!$B$8:$H$46,'Table 2C'!R$1,0)="","",VLOOKUP($X121,'Table 2C'!$B$8:$H$46,'Table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2C'!$B$8:$B$46,1,0),"OK","check!!!!"),"check!!!!")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2C'!$B$8:$H$46,'Table 2C'!N$1,0)="","",VLOOKUP($X122,'Table 2C'!$B$8:$H$46,'Table 2C'!N$1,0))</f>
        <v>#N/A</v>
      </c>
      <c r="T122" s="583" t="e">
        <f>IF(VLOOKUP($X122,'Table 2C'!$B$8:$H$46,'Table 2C'!O$1,0)="","",VLOOKUP($X122,'Table 2C'!$B$8:$H$46,'Table 2C'!O$1,0))</f>
        <v>#N/A</v>
      </c>
      <c r="U122" s="583" t="e">
        <f>IF(VLOOKUP($X122,'Table 2C'!$B$8:$H$46,'Table 2C'!P$1,0)="","",VLOOKUP($X122,'Table 2C'!$B$8:$H$46,'Table 2C'!P$1,0))</f>
        <v>#N/A</v>
      </c>
      <c r="V122" s="583" t="e">
        <f>IF(VLOOKUP($X122,'Table 2C'!$B$8:$H$46,'Table 2C'!Q$1,0)="","",VLOOKUP($X122,'Table 2C'!$B$8:$H$46,'Table 2C'!Q$1,0))</f>
        <v>#N/A</v>
      </c>
      <c r="W122" s="583" t="e">
        <f>IF(VLOOKUP($X122,'Table 2C'!$B$8:$H$46,'Table 2C'!R$1,0)="","",VLOOKUP($X122,'Table 2C'!$B$8:$H$46,'Table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2C'!$B$8:$B$46,1,0),"OK","check!!!!"),"check!!!!")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2C'!$B$8:$H$46,'Table 2C'!N$1,0)="","",VLOOKUP($X123,'Table 2C'!$B$8:$H$46,'Table 2C'!N$1,0))</f>
        <v>#N/A</v>
      </c>
      <c r="T123" s="583" t="e">
        <f>IF(VLOOKUP($X123,'Table 2C'!$B$8:$H$46,'Table 2C'!O$1,0)="","",VLOOKUP($X123,'Table 2C'!$B$8:$H$46,'Table 2C'!O$1,0))</f>
        <v>#N/A</v>
      </c>
      <c r="U123" s="583" t="e">
        <f>IF(VLOOKUP($X123,'Table 2C'!$B$8:$H$46,'Table 2C'!P$1,0)="","",VLOOKUP($X123,'Table 2C'!$B$8:$H$46,'Table 2C'!P$1,0))</f>
        <v>#N/A</v>
      </c>
      <c r="V123" s="583" t="e">
        <f>IF(VLOOKUP($X123,'Table 2C'!$B$8:$H$46,'Table 2C'!Q$1,0)="","",VLOOKUP($X123,'Table 2C'!$B$8:$H$46,'Table 2C'!Q$1,0))</f>
        <v>#N/A</v>
      </c>
      <c r="W123" s="583" t="e">
        <f>IF(VLOOKUP($X123,'Table 2C'!$B$8:$H$46,'Table 2C'!R$1,0)="","",VLOOKUP($X123,'Table 2C'!$B$8:$H$46,'Table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2C'!$B$8:$B$46,1,0),"OK","check!!!!"),"check!!!!")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2C'!$B$8:$H$46,'Table 2C'!N$1,0)="","",VLOOKUP($X124,'Table 2C'!$B$8:$H$46,'Table 2C'!N$1,0))</f>
        <v>#N/A</v>
      </c>
      <c r="T124" s="583" t="e">
        <f>IF(VLOOKUP($X124,'Table 2C'!$B$8:$H$46,'Table 2C'!O$1,0)="","",VLOOKUP($X124,'Table 2C'!$B$8:$H$46,'Table 2C'!O$1,0))</f>
        <v>#N/A</v>
      </c>
      <c r="U124" s="583" t="e">
        <f>IF(VLOOKUP($X124,'Table 2C'!$B$8:$H$46,'Table 2C'!P$1,0)="","",VLOOKUP($X124,'Table 2C'!$B$8:$H$46,'Table 2C'!P$1,0))</f>
        <v>#N/A</v>
      </c>
      <c r="V124" s="583" t="e">
        <f>IF(VLOOKUP($X124,'Table 2C'!$B$8:$H$46,'Table 2C'!Q$1,0)="","",VLOOKUP($X124,'Table 2C'!$B$8:$H$46,'Table 2C'!Q$1,0))</f>
        <v>#N/A</v>
      </c>
      <c r="W124" s="583" t="e">
        <f>IF(VLOOKUP($X124,'Table 2C'!$B$8:$H$46,'Table 2C'!R$1,0)="","",VLOOKUP($X124,'Table 2C'!$B$8:$H$46,'Table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2C'!$B$8:$B$46,1,0),"OK","check!!!!"),"check!!!!")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2C'!$B$8:$H$46,'Table 2C'!N$1,0)="","",VLOOKUP($X125,'Table 2C'!$B$8:$H$46,'Table 2C'!N$1,0))</f>
        <v>#N/A</v>
      </c>
      <c r="T125" s="583" t="e">
        <f>IF(VLOOKUP($X125,'Table 2C'!$B$8:$H$46,'Table 2C'!O$1,0)="","",VLOOKUP($X125,'Table 2C'!$B$8:$H$46,'Table 2C'!O$1,0))</f>
        <v>#N/A</v>
      </c>
      <c r="U125" s="583" t="e">
        <f>IF(VLOOKUP($X125,'Table 2C'!$B$8:$H$46,'Table 2C'!P$1,0)="","",VLOOKUP($X125,'Table 2C'!$B$8:$H$46,'Table 2C'!P$1,0))</f>
        <v>#N/A</v>
      </c>
      <c r="V125" s="583" t="e">
        <f>IF(VLOOKUP($X125,'Table 2C'!$B$8:$H$46,'Table 2C'!Q$1,0)="","",VLOOKUP($X125,'Table 2C'!$B$8:$H$46,'Table 2C'!Q$1,0))</f>
        <v>#N/A</v>
      </c>
      <c r="W125" s="583" t="e">
        <f>IF(VLOOKUP($X125,'Table 2C'!$B$8:$H$46,'Table 2C'!R$1,0)="","",VLOOKUP($X125,'Table 2C'!$B$8:$H$46,'Table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2C'!$B$8:$B$46,1,0),"OK","check!!!!"),"check!!!!")</f>
        <v>check!!!!</v>
      </c>
      <c r="AB125" s="577" t="str">
        <f>IF('Table 2C'!B30=X125,"ok","check!!!!")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2C'!$B$8:$H$46,'Table 2C'!N$1,0)="","",VLOOKUP($X126,'Table 2C'!$B$8:$H$46,'Table 2C'!N$1,0))</f>
        <v>#N/A</v>
      </c>
      <c r="T126" s="583" t="e">
        <f>IF(VLOOKUP($X126,'Table 2C'!$B$8:$H$46,'Table 2C'!O$1,0)="","",VLOOKUP($X126,'Table 2C'!$B$8:$H$46,'Table 2C'!O$1,0))</f>
        <v>#N/A</v>
      </c>
      <c r="U126" s="583" t="e">
        <f>IF(VLOOKUP($X126,'Table 2C'!$B$8:$H$46,'Table 2C'!P$1,0)="","",VLOOKUP($X126,'Table 2C'!$B$8:$H$46,'Table 2C'!P$1,0))</f>
        <v>#N/A</v>
      </c>
      <c r="V126" s="583" t="e">
        <f>IF(VLOOKUP($X126,'Table 2C'!$B$8:$H$46,'Table 2C'!Q$1,0)="","",VLOOKUP($X126,'Table 2C'!$B$8:$H$46,'Table 2C'!Q$1,0))</f>
        <v>#N/A</v>
      </c>
      <c r="W126" s="583" t="e">
        <f>IF(VLOOKUP($X126,'Table 2C'!$B$8:$H$46,'Table 2C'!R$1,0)="","",VLOOKUP($X126,'Table 2C'!$B$8:$H$46,'Table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2C'!$B$8:$B$46,1,0),"OK","check!!!!"),"check!!!!")</f>
        <v>check!!!!</v>
      </c>
      <c r="AB126" s="577" t="str">
        <f>IF('Table 2C'!B31=X126,"ok","check!!!!")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2C'!$B$8:$H$46,'Table 2C'!N$1,0)="","",VLOOKUP($X127,'Table 2C'!$B$8:$H$46,'Table 2C'!N$1,0))</f>
        <v>#N/A</v>
      </c>
      <c r="T127" s="583" t="e">
        <f>IF(VLOOKUP($X127,'Table 2C'!$B$8:$H$46,'Table 2C'!O$1,0)="","",VLOOKUP($X127,'Table 2C'!$B$8:$H$46,'Table 2C'!O$1,0))</f>
        <v>#N/A</v>
      </c>
      <c r="U127" s="583" t="e">
        <f>IF(VLOOKUP($X127,'Table 2C'!$B$8:$H$46,'Table 2C'!P$1,0)="","",VLOOKUP($X127,'Table 2C'!$B$8:$H$46,'Table 2C'!P$1,0))</f>
        <v>#N/A</v>
      </c>
      <c r="V127" s="583" t="e">
        <f>IF(VLOOKUP($X127,'Table 2C'!$B$8:$H$46,'Table 2C'!Q$1,0)="","",VLOOKUP($X127,'Table 2C'!$B$8:$H$46,'Table 2C'!Q$1,0))</f>
        <v>#N/A</v>
      </c>
      <c r="W127" s="583" t="e">
        <f>IF(VLOOKUP($X127,'Table 2C'!$B$8:$H$46,'Table 2C'!R$1,0)="","",VLOOKUP($X127,'Table 2C'!$B$8:$H$46,'Table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2C'!$B$8:$B$46,1,0),"OK","check!!!!"),"check!!!!")</f>
        <v>check!!!!</v>
      </c>
      <c r="AB127" s="577" t="str">
        <f>IF('Table 2C'!B32=X127,"ok","check!!!!")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2C'!$B$8:$H$46,'Table 2C'!N$1,0)="","",VLOOKUP($X128,'Table 2C'!$B$8:$H$46,'Table 2C'!N$1,0))</f>
        <v>#N/A</v>
      </c>
      <c r="T128" s="583" t="e">
        <f>IF(VLOOKUP($X128,'Table 2C'!$B$8:$H$46,'Table 2C'!O$1,0)="","",VLOOKUP($X128,'Table 2C'!$B$8:$H$46,'Table 2C'!O$1,0))</f>
        <v>#N/A</v>
      </c>
      <c r="U128" s="583" t="e">
        <f>IF(VLOOKUP($X128,'Table 2C'!$B$8:$H$46,'Table 2C'!P$1,0)="","",VLOOKUP($X128,'Table 2C'!$B$8:$H$46,'Table 2C'!P$1,0))</f>
        <v>#N/A</v>
      </c>
      <c r="V128" s="583" t="e">
        <f>IF(VLOOKUP($X128,'Table 2C'!$B$8:$H$46,'Table 2C'!Q$1,0)="","",VLOOKUP($X128,'Table 2C'!$B$8:$H$46,'Table 2C'!Q$1,0))</f>
        <v>#N/A</v>
      </c>
      <c r="W128" s="583" t="e">
        <f>IF(VLOOKUP($X128,'Table 2C'!$B$8:$H$46,'Table 2C'!R$1,0)="","",VLOOKUP($X128,'Table 2C'!$B$8:$H$46,'Table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2C'!$B$8:$B$46,1,0),"OK","check!!!!"),"check!!!!")</f>
        <v>check!!!!</v>
      </c>
      <c r="AB128" s="577" t="str">
        <f>IF('Table 2C'!B34=X128,"ok","check!!!!")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2C'!$B$8:$H$46,'Table 2C'!N$1,0)="","",VLOOKUP($X129,'Table 2C'!$B$8:$H$46,'Table 2C'!N$1,0))</f>
        <v>#N/A</v>
      </c>
      <c r="T129" s="583" t="e">
        <f>IF(VLOOKUP($X129,'Table 2C'!$B$8:$H$46,'Table 2C'!O$1,0)="","",VLOOKUP($X129,'Table 2C'!$B$8:$H$46,'Table 2C'!O$1,0))</f>
        <v>#N/A</v>
      </c>
      <c r="U129" s="583" t="e">
        <f>IF(VLOOKUP($X129,'Table 2C'!$B$8:$H$46,'Table 2C'!P$1,0)="","",VLOOKUP($X129,'Table 2C'!$B$8:$H$46,'Table 2C'!P$1,0))</f>
        <v>#N/A</v>
      </c>
      <c r="V129" s="583" t="e">
        <f>IF(VLOOKUP($X129,'Table 2C'!$B$8:$H$46,'Table 2C'!Q$1,0)="","",VLOOKUP($X129,'Table 2C'!$B$8:$H$46,'Table 2C'!Q$1,0))</f>
        <v>#N/A</v>
      </c>
      <c r="W129" s="583" t="e">
        <f>IF(VLOOKUP($X129,'Table 2C'!$B$8:$H$46,'Table 2C'!R$1,0)="","",VLOOKUP($X129,'Table 2C'!$B$8:$H$46,'Table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2C'!$B$8:$B$46,1,0),"OK","check!!!!"),"check!!!!")</f>
        <v>check!!!!</v>
      </c>
      <c r="AB129" s="577" t="str">
        <f>IF('Table 2C'!B36=X129,"ok","check!!!!")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2C'!$B$8:$H$46,'Table 2C'!N$1,0)="","",VLOOKUP($X130,'Table 2C'!$B$8:$H$46,'Table 2C'!N$1,0))</f>
        <v>#N/A</v>
      </c>
      <c r="T130" s="583" t="e">
        <f>IF(VLOOKUP($X130,'Table 2C'!$B$8:$H$46,'Table 2C'!O$1,0)="","",VLOOKUP($X130,'Table 2C'!$B$8:$H$46,'Table 2C'!O$1,0))</f>
        <v>#N/A</v>
      </c>
      <c r="U130" s="583" t="e">
        <f>IF(VLOOKUP($X130,'Table 2C'!$B$8:$H$46,'Table 2C'!P$1,0)="","",VLOOKUP($X130,'Table 2C'!$B$8:$H$46,'Table 2C'!P$1,0))</f>
        <v>#N/A</v>
      </c>
      <c r="V130" s="583" t="e">
        <f>IF(VLOOKUP($X130,'Table 2C'!$B$8:$H$46,'Table 2C'!Q$1,0)="","",VLOOKUP($X130,'Table 2C'!$B$8:$H$46,'Table 2C'!Q$1,0))</f>
        <v>#N/A</v>
      </c>
      <c r="W130" s="583" t="e">
        <f>IF(VLOOKUP($X130,'Table 2C'!$B$8:$H$46,'Table 2C'!R$1,0)="","",VLOOKUP($X130,'Table 2C'!$B$8:$H$46,'Table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2C'!$B$8:$B$46,1,0),"OK","check!!!!"),"check!!!!")</f>
        <v>check!!!!</v>
      </c>
      <c r="AB130" s="577" t="str">
        <f>IF('Table 2C'!B37=X130,"ok","check!!!!")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2C'!$B$8:$H$46,'Table 2C'!N$1,0)="","",VLOOKUP($X131,'Table 2C'!$B$8:$H$46,'Table 2C'!N$1,0))</f>
        <v>#N/A</v>
      </c>
      <c r="T131" s="583" t="e">
        <f>IF(VLOOKUP($X131,'Table 2C'!$B$8:$H$46,'Table 2C'!O$1,0)="","",VLOOKUP($X131,'Table 2C'!$B$8:$H$46,'Table 2C'!O$1,0))</f>
        <v>#N/A</v>
      </c>
      <c r="U131" s="583" t="e">
        <f>IF(VLOOKUP($X131,'Table 2C'!$B$8:$H$46,'Table 2C'!P$1,0)="","",VLOOKUP($X131,'Table 2C'!$B$8:$H$46,'Table 2C'!P$1,0))</f>
        <v>#N/A</v>
      </c>
      <c r="V131" s="583" t="e">
        <f>IF(VLOOKUP($X131,'Table 2C'!$B$8:$H$46,'Table 2C'!Q$1,0)="","",VLOOKUP($X131,'Table 2C'!$B$8:$H$46,'Table 2C'!Q$1,0))</f>
        <v>#N/A</v>
      </c>
      <c r="W131" s="583" t="e">
        <f>IF(VLOOKUP($X131,'Table 2C'!$B$8:$H$46,'Table 2C'!R$1,0)="","",VLOOKUP($X131,'Table 2C'!$B$8:$H$46,'Table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2C'!$B$8:$B$46,1,0),"OK","check!!!!"),"check!!!!")</f>
        <v>check!!!!</v>
      </c>
      <c r="AB131" s="577" t="str">
        <f>IF('Table 2C'!B38=X131,"ok","check!!!!")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2C'!$B$8:$H$46,'Table 2C'!N$1,0)="","",VLOOKUP($X132,'Table 2C'!$B$8:$H$46,'Table 2C'!N$1,0))</f>
        <v>#N/A</v>
      </c>
      <c r="T132" s="583" t="e">
        <f>IF(VLOOKUP($X132,'Table 2C'!$B$8:$H$46,'Table 2C'!O$1,0)="","",VLOOKUP($X132,'Table 2C'!$B$8:$H$46,'Table 2C'!O$1,0))</f>
        <v>#N/A</v>
      </c>
      <c r="U132" s="583" t="e">
        <f>IF(VLOOKUP($X132,'Table 2C'!$B$8:$H$46,'Table 2C'!P$1,0)="","",VLOOKUP($X132,'Table 2C'!$B$8:$H$46,'Table 2C'!P$1,0))</f>
        <v>#N/A</v>
      </c>
      <c r="V132" s="583" t="e">
        <f>IF(VLOOKUP($X132,'Table 2C'!$B$8:$H$46,'Table 2C'!Q$1,0)="","",VLOOKUP($X132,'Table 2C'!$B$8:$H$46,'Table 2C'!Q$1,0))</f>
        <v>#N/A</v>
      </c>
      <c r="W132" s="583" t="e">
        <f>IF(VLOOKUP($X132,'Table 2C'!$B$8:$H$46,'Table 2C'!R$1,0)="","",VLOOKUP($X132,'Table 2C'!$B$8:$H$46,'Table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2C'!$B$8:$B$46,1,0),"OK","check!!!!"),"check!!!!")</f>
        <v>check!!!!</v>
      </c>
      <c r="AB132" s="577" t="str">
        <f>IF('Table 2C'!B39=X132,"ok","check!!!!")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2C'!$B$8:$H$46,'Table 2C'!N$1,0)="","",VLOOKUP($X133,'Table 2C'!$B$8:$H$46,'Table 2C'!N$1,0))</f>
        <v>#N/A</v>
      </c>
      <c r="T133" s="583" t="e">
        <f>IF(VLOOKUP($X133,'Table 2C'!$B$8:$H$46,'Table 2C'!O$1,0)="","",VLOOKUP($X133,'Table 2C'!$B$8:$H$46,'Table 2C'!O$1,0))</f>
        <v>#N/A</v>
      </c>
      <c r="U133" s="583" t="e">
        <f>IF(VLOOKUP($X133,'Table 2C'!$B$8:$H$46,'Table 2C'!P$1,0)="","",VLOOKUP($X133,'Table 2C'!$B$8:$H$46,'Table 2C'!P$1,0))</f>
        <v>#N/A</v>
      </c>
      <c r="V133" s="583" t="e">
        <f>IF(VLOOKUP($X133,'Table 2C'!$B$8:$H$46,'Table 2C'!Q$1,0)="","",VLOOKUP($X133,'Table 2C'!$B$8:$H$46,'Table 2C'!Q$1,0))</f>
        <v>#N/A</v>
      </c>
      <c r="W133" s="583" t="e">
        <f>IF(VLOOKUP($X133,'Table 2C'!$B$8:$H$46,'Table 2C'!R$1,0)="","",VLOOKUP($X133,'Table 2C'!$B$8:$H$46,'Table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2C'!$B$8:$B$46,1,0),"OK","check!!!!"),"check!!!!")</f>
        <v>check!!!!</v>
      </c>
      <c r="AB133" s="577" t="str">
        <f>IF('Table 2C'!B41=X133,"ok","check!!!!")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2C'!$B$8:$H$46,'Table 2C'!N$1,0)="","",VLOOKUP($X134,'Table 2C'!$B$8:$H$46,'Table 2C'!N$1,0))</f>
        <v>#N/A</v>
      </c>
      <c r="T134" s="583" t="e">
        <f>IF(VLOOKUP($X134,'Table 2C'!$B$8:$H$46,'Table 2C'!O$1,0)="","",VLOOKUP($X134,'Table 2C'!$B$8:$H$46,'Table 2C'!O$1,0))</f>
        <v>#N/A</v>
      </c>
      <c r="U134" s="583" t="e">
        <f>IF(VLOOKUP($X134,'Table 2C'!$B$8:$H$46,'Table 2C'!P$1,0)="","",VLOOKUP($X134,'Table 2C'!$B$8:$H$46,'Table 2C'!P$1,0))</f>
        <v>#N/A</v>
      </c>
      <c r="V134" s="583" t="e">
        <f>IF(VLOOKUP($X134,'Table 2C'!$B$8:$H$46,'Table 2C'!Q$1,0)="","",VLOOKUP($X134,'Table 2C'!$B$8:$H$46,'Table 2C'!Q$1,0))</f>
        <v>#N/A</v>
      </c>
      <c r="W134" s="583" t="e">
        <f>IF(VLOOKUP($X134,'Table 2C'!$B$8:$H$46,'Table 2C'!R$1,0)="","",VLOOKUP($X134,'Table 2C'!$B$8:$H$46,'Table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2C'!$B$8:$B$46,1,0),"OK","check!!!!"),"check!!!!")</f>
        <v>check!!!!</v>
      </c>
      <c r="AB134" s="577" t="str">
        <f>IF('Table 2C'!B42=X134,"ok","check!!!!")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2C'!$B$8:$H$46,'Table 2C'!N$1,0)="","",VLOOKUP($X135,'Table 2C'!$B$8:$H$46,'Table 2C'!N$1,0))</f>
        <v>#N/A</v>
      </c>
      <c r="T135" s="583" t="e">
        <f>IF(VLOOKUP($X135,'Table 2C'!$B$8:$H$46,'Table 2C'!O$1,0)="","",VLOOKUP($X135,'Table 2C'!$B$8:$H$46,'Table 2C'!O$1,0))</f>
        <v>#N/A</v>
      </c>
      <c r="U135" s="583" t="e">
        <f>IF(VLOOKUP($X135,'Table 2C'!$B$8:$H$46,'Table 2C'!P$1,0)="","",VLOOKUP($X135,'Table 2C'!$B$8:$H$46,'Table 2C'!P$1,0))</f>
        <v>#N/A</v>
      </c>
      <c r="V135" s="583" t="e">
        <f>IF(VLOOKUP($X135,'Table 2C'!$B$8:$H$46,'Table 2C'!Q$1,0)="","",VLOOKUP($X135,'Table 2C'!$B$8:$H$46,'Table 2C'!Q$1,0))</f>
        <v>#N/A</v>
      </c>
      <c r="W135" s="583" t="e">
        <f>IF(VLOOKUP($X135,'Table 2C'!$B$8:$H$46,'Table 2C'!R$1,0)="","",VLOOKUP($X135,'Table 2C'!$B$8:$H$46,'Table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2C'!$B$8:$B$46,1,0),"OK","check!!!!"),"check!!!!")</f>
        <v>check!!!!</v>
      </c>
      <c r="AB135" s="577" t="str">
        <f>IF('Table 2C'!B43=X135,"ok","check!!!!")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2C'!$B$8:$H$46,'Table 2C'!N$1,0)="","",VLOOKUP($X136,'Table 2C'!$B$8:$H$46,'Table 2C'!N$1,0))</f>
        <v>#N/A</v>
      </c>
      <c r="T136" s="583" t="e">
        <f>IF(VLOOKUP($X136,'Table 2C'!$B$8:$H$46,'Table 2C'!O$1,0)="","",VLOOKUP($X136,'Table 2C'!$B$8:$H$46,'Table 2C'!O$1,0))</f>
        <v>#N/A</v>
      </c>
      <c r="U136" s="583" t="e">
        <f>IF(VLOOKUP($X136,'Table 2C'!$B$8:$H$46,'Table 2C'!P$1,0)="","",VLOOKUP($X136,'Table 2C'!$B$8:$H$46,'Table 2C'!P$1,0))</f>
        <v>#N/A</v>
      </c>
      <c r="V136" s="583" t="e">
        <f>IF(VLOOKUP($X136,'Table 2C'!$B$8:$H$46,'Table 2C'!Q$1,0)="","",VLOOKUP($X136,'Table 2C'!$B$8:$H$46,'Table 2C'!Q$1,0))</f>
        <v>#N/A</v>
      </c>
      <c r="W136" s="583" t="e">
        <f>IF(VLOOKUP($X136,'Table 2C'!$B$8:$H$46,'Table 2C'!R$1,0)="","",VLOOKUP($X136,'Table 2C'!$B$8:$H$46,'Table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2C'!$B$8:$B$46,1,0),"OK","check!!!!"),"check!!!!")</f>
        <v>check!!!!</v>
      </c>
      <c r="AB136" s="577" t="str">
        <f>IF('Table 2C'!B44=X136,"ok","check!!!!")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2C'!$B$8:$H$46,'Table 2C'!N$1,0)="","",VLOOKUP($X137,'Table 2C'!$B$8:$H$46,'Table 2C'!N$1,0))</f>
        <v>#N/A</v>
      </c>
      <c r="T137" s="583" t="e">
        <f>IF(VLOOKUP($X137,'Table 2C'!$B$8:$H$46,'Table 2C'!O$1,0)="","",VLOOKUP($X137,'Table 2C'!$B$8:$H$46,'Table 2C'!O$1,0))</f>
        <v>#N/A</v>
      </c>
      <c r="U137" s="583" t="e">
        <f>IF(VLOOKUP($X137,'Table 2C'!$B$8:$H$46,'Table 2C'!P$1,0)="","",VLOOKUP($X137,'Table 2C'!$B$8:$H$46,'Table 2C'!P$1,0))</f>
        <v>#N/A</v>
      </c>
      <c r="V137" s="583" t="e">
        <f>IF(VLOOKUP($X137,'Table 2C'!$B$8:$H$46,'Table 2C'!Q$1,0)="","",VLOOKUP($X137,'Table 2C'!$B$8:$H$46,'Table 2C'!Q$1,0))</f>
        <v>#N/A</v>
      </c>
      <c r="W137" s="583" t="e">
        <f>IF(VLOOKUP($X137,'Table 2C'!$B$8:$H$46,'Table 2C'!R$1,0)="","",VLOOKUP($X137,'Table 2C'!$B$8:$H$46,'Table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2C'!$B$8:$B$46,1,0),"OK","check!!!!"),"check!!!!")</f>
        <v>check!!!!</v>
      </c>
      <c r="AB137" s="577" t="str">
        <f>IF('Table 2C'!B46=X137,"ok","check!!!!")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90625" defaultRowHeight="14.4"/>
  <cols>
    <col min="1" max="1" width="23.08984375" style="501" bestFit="1" customWidth="1"/>
    <col min="2" max="2" width="8.90625" style="501" customWidth="1"/>
    <col min="3" max="3" width="16" style="501" customWidth="1"/>
    <col min="4" max="5" width="8.90625" style="501" customWidth="1"/>
    <col min="6" max="6" width="8.6328125" style="501" bestFit="1" customWidth="1"/>
    <col min="7" max="7" width="8.90625" style="501"/>
    <col min="8" max="8" width="22.90625" style="501" bestFit="1" customWidth="1"/>
    <col min="9" max="256" width="8.90625" style="501"/>
    <col min="257" max="257" width="23.08984375" style="501" bestFit="1" customWidth="1"/>
    <col min="258" max="258" width="8.90625" style="501" customWidth="1"/>
    <col min="259" max="259" width="16" style="501" customWidth="1"/>
    <col min="260" max="261" width="8.90625" style="501" customWidth="1"/>
    <col min="262" max="262" width="8.6328125" style="501" bestFit="1" customWidth="1"/>
    <col min="263" max="512" width="8.90625" style="501"/>
    <col min="513" max="513" width="23.08984375" style="501" bestFit="1" customWidth="1"/>
    <col min="514" max="514" width="8.90625" style="501" customWidth="1"/>
    <col min="515" max="515" width="16" style="501" customWidth="1"/>
    <col min="516" max="517" width="8.90625" style="501" customWidth="1"/>
    <col min="518" max="518" width="8.6328125" style="501" bestFit="1" customWidth="1"/>
    <col min="519" max="768" width="8.90625" style="501"/>
    <col min="769" max="769" width="23.08984375" style="501" bestFit="1" customWidth="1"/>
    <col min="770" max="770" width="8.90625" style="501" customWidth="1"/>
    <col min="771" max="771" width="16" style="501" customWidth="1"/>
    <col min="772" max="773" width="8.90625" style="501" customWidth="1"/>
    <col min="774" max="774" width="8.6328125" style="501" bestFit="1" customWidth="1"/>
    <col min="775" max="1024" width="8.90625" style="501"/>
    <col min="1025" max="1025" width="23.08984375" style="501" bestFit="1" customWidth="1"/>
    <col min="1026" max="1026" width="8.90625" style="501" customWidth="1"/>
    <col min="1027" max="1027" width="16" style="501" customWidth="1"/>
    <col min="1028" max="1029" width="8.90625" style="501" customWidth="1"/>
    <col min="1030" max="1030" width="8.6328125" style="501" bestFit="1" customWidth="1"/>
    <col min="1031" max="1280" width="8.90625" style="501"/>
    <col min="1281" max="1281" width="23.08984375" style="501" bestFit="1" customWidth="1"/>
    <col min="1282" max="1282" width="8.90625" style="501" customWidth="1"/>
    <col min="1283" max="1283" width="16" style="501" customWidth="1"/>
    <col min="1284" max="1285" width="8.90625" style="501" customWidth="1"/>
    <col min="1286" max="1286" width="8.6328125" style="501" bestFit="1" customWidth="1"/>
    <col min="1287" max="1536" width="8.90625" style="501"/>
    <col min="1537" max="1537" width="23.08984375" style="501" bestFit="1" customWidth="1"/>
    <col min="1538" max="1538" width="8.90625" style="501" customWidth="1"/>
    <col min="1539" max="1539" width="16" style="501" customWidth="1"/>
    <col min="1540" max="1541" width="8.90625" style="501" customWidth="1"/>
    <col min="1542" max="1542" width="8.6328125" style="501" bestFit="1" customWidth="1"/>
    <col min="1543" max="1792" width="8.90625" style="501"/>
    <col min="1793" max="1793" width="23.08984375" style="501" bestFit="1" customWidth="1"/>
    <col min="1794" max="1794" width="8.90625" style="501" customWidth="1"/>
    <col min="1795" max="1795" width="16" style="501" customWidth="1"/>
    <col min="1796" max="1797" width="8.90625" style="501" customWidth="1"/>
    <col min="1798" max="1798" width="8.6328125" style="501" bestFit="1" customWidth="1"/>
    <col min="1799" max="2048" width="8.90625" style="501"/>
    <col min="2049" max="2049" width="23.08984375" style="501" bestFit="1" customWidth="1"/>
    <col min="2050" max="2050" width="8.90625" style="501" customWidth="1"/>
    <col min="2051" max="2051" width="16" style="501" customWidth="1"/>
    <col min="2052" max="2053" width="8.90625" style="501" customWidth="1"/>
    <col min="2054" max="2054" width="8.6328125" style="501" bestFit="1" customWidth="1"/>
    <col min="2055" max="2304" width="8.90625" style="501"/>
    <col min="2305" max="2305" width="23.08984375" style="501" bestFit="1" customWidth="1"/>
    <col min="2306" max="2306" width="8.90625" style="501" customWidth="1"/>
    <col min="2307" max="2307" width="16" style="501" customWidth="1"/>
    <col min="2308" max="2309" width="8.90625" style="501" customWidth="1"/>
    <col min="2310" max="2310" width="8.6328125" style="501" bestFit="1" customWidth="1"/>
    <col min="2311" max="2560" width="8.90625" style="501"/>
    <col min="2561" max="2561" width="23.08984375" style="501" bestFit="1" customWidth="1"/>
    <col min="2562" max="2562" width="8.90625" style="501" customWidth="1"/>
    <col min="2563" max="2563" width="16" style="501" customWidth="1"/>
    <col min="2564" max="2565" width="8.90625" style="501" customWidth="1"/>
    <col min="2566" max="2566" width="8.6328125" style="501" bestFit="1" customWidth="1"/>
    <col min="2567" max="2816" width="8.90625" style="501"/>
    <col min="2817" max="2817" width="23.08984375" style="501" bestFit="1" customWidth="1"/>
    <col min="2818" max="2818" width="8.90625" style="501" customWidth="1"/>
    <col min="2819" max="2819" width="16" style="501" customWidth="1"/>
    <col min="2820" max="2821" width="8.90625" style="501" customWidth="1"/>
    <col min="2822" max="2822" width="8.6328125" style="501" bestFit="1" customWidth="1"/>
    <col min="2823" max="3072" width="8.90625" style="501"/>
    <col min="3073" max="3073" width="23.08984375" style="501" bestFit="1" customWidth="1"/>
    <col min="3074" max="3074" width="8.90625" style="501" customWidth="1"/>
    <col min="3075" max="3075" width="16" style="501" customWidth="1"/>
    <col min="3076" max="3077" width="8.90625" style="501" customWidth="1"/>
    <col min="3078" max="3078" width="8.6328125" style="501" bestFit="1" customWidth="1"/>
    <col min="3079" max="3328" width="8.90625" style="501"/>
    <col min="3329" max="3329" width="23.08984375" style="501" bestFit="1" customWidth="1"/>
    <col min="3330" max="3330" width="8.90625" style="501" customWidth="1"/>
    <col min="3331" max="3331" width="16" style="501" customWidth="1"/>
    <col min="3332" max="3333" width="8.90625" style="501" customWidth="1"/>
    <col min="3334" max="3334" width="8.6328125" style="501" bestFit="1" customWidth="1"/>
    <col min="3335" max="3584" width="8.90625" style="501"/>
    <col min="3585" max="3585" width="23.08984375" style="501" bestFit="1" customWidth="1"/>
    <col min="3586" max="3586" width="8.90625" style="501" customWidth="1"/>
    <col min="3587" max="3587" width="16" style="501" customWidth="1"/>
    <col min="3588" max="3589" width="8.90625" style="501" customWidth="1"/>
    <col min="3590" max="3590" width="8.6328125" style="501" bestFit="1" customWidth="1"/>
    <col min="3591" max="3840" width="8.90625" style="501"/>
    <col min="3841" max="3841" width="23.08984375" style="501" bestFit="1" customWidth="1"/>
    <col min="3842" max="3842" width="8.90625" style="501" customWidth="1"/>
    <col min="3843" max="3843" width="16" style="501" customWidth="1"/>
    <col min="3844" max="3845" width="8.90625" style="501" customWidth="1"/>
    <col min="3846" max="3846" width="8.6328125" style="501" bestFit="1" customWidth="1"/>
    <col min="3847" max="4096" width="8.90625" style="501"/>
    <col min="4097" max="4097" width="23.08984375" style="501" bestFit="1" customWidth="1"/>
    <col min="4098" max="4098" width="8.90625" style="501" customWidth="1"/>
    <col min="4099" max="4099" width="16" style="501" customWidth="1"/>
    <col min="4100" max="4101" width="8.90625" style="501" customWidth="1"/>
    <col min="4102" max="4102" width="8.6328125" style="501" bestFit="1" customWidth="1"/>
    <col min="4103" max="4352" width="8.90625" style="501"/>
    <col min="4353" max="4353" width="23.08984375" style="501" bestFit="1" customWidth="1"/>
    <col min="4354" max="4354" width="8.90625" style="501" customWidth="1"/>
    <col min="4355" max="4355" width="16" style="501" customWidth="1"/>
    <col min="4356" max="4357" width="8.90625" style="501" customWidth="1"/>
    <col min="4358" max="4358" width="8.6328125" style="501" bestFit="1" customWidth="1"/>
    <col min="4359" max="4608" width="8.90625" style="501"/>
    <col min="4609" max="4609" width="23.08984375" style="501" bestFit="1" customWidth="1"/>
    <col min="4610" max="4610" width="8.90625" style="501" customWidth="1"/>
    <col min="4611" max="4611" width="16" style="501" customWidth="1"/>
    <col min="4612" max="4613" width="8.90625" style="501" customWidth="1"/>
    <col min="4614" max="4614" width="8.6328125" style="501" bestFit="1" customWidth="1"/>
    <col min="4615" max="4864" width="8.90625" style="501"/>
    <col min="4865" max="4865" width="23.08984375" style="501" bestFit="1" customWidth="1"/>
    <col min="4866" max="4866" width="8.90625" style="501" customWidth="1"/>
    <col min="4867" max="4867" width="16" style="501" customWidth="1"/>
    <col min="4868" max="4869" width="8.90625" style="501" customWidth="1"/>
    <col min="4870" max="4870" width="8.6328125" style="501" bestFit="1" customWidth="1"/>
    <col min="4871" max="5120" width="8.90625" style="501"/>
    <col min="5121" max="5121" width="23.08984375" style="501" bestFit="1" customWidth="1"/>
    <col min="5122" max="5122" width="8.90625" style="501" customWidth="1"/>
    <col min="5123" max="5123" width="16" style="501" customWidth="1"/>
    <col min="5124" max="5125" width="8.90625" style="501" customWidth="1"/>
    <col min="5126" max="5126" width="8.6328125" style="501" bestFit="1" customWidth="1"/>
    <col min="5127" max="5376" width="8.90625" style="501"/>
    <col min="5377" max="5377" width="23.08984375" style="501" bestFit="1" customWidth="1"/>
    <col min="5378" max="5378" width="8.90625" style="501" customWidth="1"/>
    <col min="5379" max="5379" width="16" style="501" customWidth="1"/>
    <col min="5380" max="5381" width="8.90625" style="501" customWidth="1"/>
    <col min="5382" max="5382" width="8.6328125" style="501" bestFit="1" customWidth="1"/>
    <col min="5383" max="5632" width="8.90625" style="501"/>
    <col min="5633" max="5633" width="23.08984375" style="501" bestFit="1" customWidth="1"/>
    <col min="5634" max="5634" width="8.90625" style="501" customWidth="1"/>
    <col min="5635" max="5635" width="16" style="501" customWidth="1"/>
    <col min="5636" max="5637" width="8.90625" style="501" customWidth="1"/>
    <col min="5638" max="5638" width="8.6328125" style="501" bestFit="1" customWidth="1"/>
    <col min="5639" max="5888" width="8.90625" style="501"/>
    <col min="5889" max="5889" width="23.08984375" style="501" bestFit="1" customWidth="1"/>
    <col min="5890" max="5890" width="8.90625" style="501" customWidth="1"/>
    <col min="5891" max="5891" width="16" style="501" customWidth="1"/>
    <col min="5892" max="5893" width="8.90625" style="501" customWidth="1"/>
    <col min="5894" max="5894" width="8.6328125" style="501" bestFit="1" customWidth="1"/>
    <col min="5895" max="6144" width="8.90625" style="501"/>
    <col min="6145" max="6145" width="23.08984375" style="501" bestFit="1" customWidth="1"/>
    <col min="6146" max="6146" width="8.90625" style="501" customWidth="1"/>
    <col min="6147" max="6147" width="16" style="501" customWidth="1"/>
    <col min="6148" max="6149" width="8.90625" style="501" customWidth="1"/>
    <col min="6150" max="6150" width="8.6328125" style="501" bestFit="1" customWidth="1"/>
    <col min="6151" max="6400" width="8.90625" style="501"/>
    <col min="6401" max="6401" width="23.08984375" style="501" bestFit="1" customWidth="1"/>
    <col min="6402" max="6402" width="8.90625" style="501" customWidth="1"/>
    <col min="6403" max="6403" width="16" style="501" customWidth="1"/>
    <col min="6404" max="6405" width="8.90625" style="501" customWidth="1"/>
    <col min="6406" max="6406" width="8.6328125" style="501" bestFit="1" customWidth="1"/>
    <col min="6407" max="6656" width="8.90625" style="501"/>
    <col min="6657" max="6657" width="23.08984375" style="501" bestFit="1" customWidth="1"/>
    <col min="6658" max="6658" width="8.90625" style="501" customWidth="1"/>
    <col min="6659" max="6659" width="16" style="501" customWidth="1"/>
    <col min="6660" max="6661" width="8.90625" style="501" customWidth="1"/>
    <col min="6662" max="6662" width="8.6328125" style="501" bestFit="1" customWidth="1"/>
    <col min="6663" max="6912" width="8.90625" style="501"/>
    <col min="6913" max="6913" width="23.08984375" style="501" bestFit="1" customWidth="1"/>
    <col min="6914" max="6914" width="8.90625" style="501" customWidth="1"/>
    <col min="6915" max="6915" width="16" style="501" customWidth="1"/>
    <col min="6916" max="6917" width="8.90625" style="501" customWidth="1"/>
    <col min="6918" max="6918" width="8.6328125" style="501" bestFit="1" customWidth="1"/>
    <col min="6919" max="7168" width="8.90625" style="501"/>
    <col min="7169" max="7169" width="23.08984375" style="501" bestFit="1" customWidth="1"/>
    <col min="7170" max="7170" width="8.90625" style="501" customWidth="1"/>
    <col min="7171" max="7171" width="16" style="501" customWidth="1"/>
    <col min="7172" max="7173" width="8.90625" style="501" customWidth="1"/>
    <col min="7174" max="7174" width="8.6328125" style="501" bestFit="1" customWidth="1"/>
    <col min="7175" max="7424" width="8.90625" style="501"/>
    <col min="7425" max="7425" width="23.08984375" style="501" bestFit="1" customWidth="1"/>
    <col min="7426" max="7426" width="8.90625" style="501" customWidth="1"/>
    <col min="7427" max="7427" width="16" style="501" customWidth="1"/>
    <col min="7428" max="7429" width="8.90625" style="501" customWidth="1"/>
    <col min="7430" max="7430" width="8.6328125" style="501" bestFit="1" customWidth="1"/>
    <col min="7431" max="7680" width="8.90625" style="501"/>
    <col min="7681" max="7681" width="23.08984375" style="501" bestFit="1" customWidth="1"/>
    <col min="7682" max="7682" width="8.90625" style="501" customWidth="1"/>
    <col min="7683" max="7683" width="16" style="501" customWidth="1"/>
    <col min="7684" max="7685" width="8.90625" style="501" customWidth="1"/>
    <col min="7686" max="7686" width="8.6328125" style="501" bestFit="1" customWidth="1"/>
    <col min="7687" max="7936" width="8.90625" style="501"/>
    <col min="7937" max="7937" width="23.08984375" style="501" bestFit="1" customWidth="1"/>
    <col min="7938" max="7938" width="8.90625" style="501" customWidth="1"/>
    <col min="7939" max="7939" width="16" style="501" customWidth="1"/>
    <col min="7940" max="7941" width="8.90625" style="501" customWidth="1"/>
    <col min="7942" max="7942" width="8.6328125" style="501" bestFit="1" customWidth="1"/>
    <col min="7943" max="8192" width="8.90625" style="501"/>
    <col min="8193" max="8193" width="23.08984375" style="501" bestFit="1" customWidth="1"/>
    <col min="8194" max="8194" width="8.90625" style="501" customWidth="1"/>
    <col min="8195" max="8195" width="16" style="501" customWidth="1"/>
    <col min="8196" max="8197" width="8.90625" style="501" customWidth="1"/>
    <col min="8198" max="8198" width="8.6328125" style="501" bestFit="1" customWidth="1"/>
    <col min="8199" max="8448" width="8.90625" style="501"/>
    <col min="8449" max="8449" width="23.08984375" style="501" bestFit="1" customWidth="1"/>
    <col min="8450" max="8450" width="8.90625" style="501" customWidth="1"/>
    <col min="8451" max="8451" width="16" style="501" customWidth="1"/>
    <col min="8452" max="8453" width="8.90625" style="501" customWidth="1"/>
    <col min="8454" max="8454" width="8.6328125" style="501" bestFit="1" customWidth="1"/>
    <col min="8455" max="8704" width="8.90625" style="501"/>
    <col min="8705" max="8705" width="23.08984375" style="501" bestFit="1" customWidth="1"/>
    <col min="8706" max="8706" width="8.90625" style="501" customWidth="1"/>
    <col min="8707" max="8707" width="16" style="501" customWidth="1"/>
    <col min="8708" max="8709" width="8.90625" style="501" customWidth="1"/>
    <col min="8710" max="8710" width="8.6328125" style="501" bestFit="1" customWidth="1"/>
    <col min="8711" max="8960" width="8.90625" style="501"/>
    <col min="8961" max="8961" width="23.08984375" style="501" bestFit="1" customWidth="1"/>
    <col min="8962" max="8962" width="8.90625" style="501" customWidth="1"/>
    <col min="8963" max="8963" width="16" style="501" customWidth="1"/>
    <col min="8964" max="8965" width="8.90625" style="501" customWidth="1"/>
    <col min="8966" max="8966" width="8.6328125" style="501" bestFit="1" customWidth="1"/>
    <col min="8967" max="9216" width="8.90625" style="501"/>
    <col min="9217" max="9217" width="23.08984375" style="501" bestFit="1" customWidth="1"/>
    <col min="9218" max="9218" width="8.90625" style="501" customWidth="1"/>
    <col min="9219" max="9219" width="16" style="501" customWidth="1"/>
    <col min="9220" max="9221" width="8.90625" style="501" customWidth="1"/>
    <col min="9222" max="9222" width="8.6328125" style="501" bestFit="1" customWidth="1"/>
    <col min="9223" max="9472" width="8.90625" style="501"/>
    <col min="9473" max="9473" width="23.08984375" style="501" bestFit="1" customWidth="1"/>
    <col min="9474" max="9474" width="8.90625" style="501" customWidth="1"/>
    <col min="9475" max="9475" width="16" style="501" customWidth="1"/>
    <col min="9476" max="9477" width="8.90625" style="501" customWidth="1"/>
    <col min="9478" max="9478" width="8.6328125" style="501" bestFit="1" customWidth="1"/>
    <col min="9479" max="9728" width="8.90625" style="501"/>
    <col min="9729" max="9729" width="23.08984375" style="501" bestFit="1" customWidth="1"/>
    <col min="9730" max="9730" width="8.90625" style="501" customWidth="1"/>
    <col min="9731" max="9731" width="16" style="501" customWidth="1"/>
    <col min="9732" max="9733" width="8.90625" style="501" customWidth="1"/>
    <col min="9734" max="9734" width="8.6328125" style="501" bestFit="1" customWidth="1"/>
    <col min="9735" max="9984" width="8.90625" style="501"/>
    <col min="9985" max="9985" width="23.08984375" style="501" bestFit="1" customWidth="1"/>
    <col min="9986" max="9986" width="8.90625" style="501" customWidth="1"/>
    <col min="9987" max="9987" width="16" style="501" customWidth="1"/>
    <col min="9988" max="9989" width="8.90625" style="501" customWidth="1"/>
    <col min="9990" max="9990" width="8.6328125" style="501" bestFit="1" customWidth="1"/>
    <col min="9991" max="10240" width="8.90625" style="501"/>
    <col min="10241" max="10241" width="23.08984375" style="501" bestFit="1" customWidth="1"/>
    <col min="10242" max="10242" width="8.90625" style="501" customWidth="1"/>
    <col min="10243" max="10243" width="16" style="501" customWidth="1"/>
    <col min="10244" max="10245" width="8.90625" style="501" customWidth="1"/>
    <col min="10246" max="10246" width="8.6328125" style="501" bestFit="1" customWidth="1"/>
    <col min="10247" max="10496" width="8.90625" style="501"/>
    <col min="10497" max="10497" width="23.08984375" style="501" bestFit="1" customWidth="1"/>
    <col min="10498" max="10498" width="8.90625" style="501" customWidth="1"/>
    <col min="10499" max="10499" width="16" style="501" customWidth="1"/>
    <col min="10500" max="10501" width="8.90625" style="501" customWidth="1"/>
    <col min="10502" max="10502" width="8.6328125" style="501" bestFit="1" customWidth="1"/>
    <col min="10503" max="10752" width="8.90625" style="501"/>
    <col min="10753" max="10753" width="23.08984375" style="501" bestFit="1" customWidth="1"/>
    <col min="10754" max="10754" width="8.90625" style="501" customWidth="1"/>
    <col min="10755" max="10755" width="16" style="501" customWidth="1"/>
    <col min="10756" max="10757" width="8.90625" style="501" customWidth="1"/>
    <col min="10758" max="10758" width="8.6328125" style="501" bestFit="1" customWidth="1"/>
    <col min="10759" max="11008" width="8.90625" style="501"/>
    <col min="11009" max="11009" width="23.08984375" style="501" bestFit="1" customWidth="1"/>
    <col min="11010" max="11010" width="8.90625" style="501" customWidth="1"/>
    <col min="11011" max="11011" width="16" style="501" customWidth="1"/>
    <col min="11012" max="11013" width="8.90625" style="501" customWidth="1"/>
    <col min="11014" max="11014" width="8.6328125" style="501" bestFit="1" customWidth="1"/>
    <col min="11015" max="11264" width="8.90625" style="501"/>
    <col min="11265" max="11265" width="23.08984375" style="501" bestFit="1" customWidth="1"/>
    <col min="11266" max="11266" width="8.90625" style="501" customWidth="1"/>
    <col min="11267" max="11267" width="16" style="501" customWidth="1"/>
    <col min="11268" max="11269" width="8.90625" style="501" customWidth="1"/>
    <col min="11270" max="11270" width="8.6328125" style="501" bestFit="1" customWidth="1"/>
    <col min="11271" max="11520" width="8.90625" style="501"/>
    <col min="11521" max="11521" width="23.08984375" style="501" bestFit="1" customWidth="1"/>
    <col min="11522" max="11522" width="8.90625" style="501" customWidth="1"/>
    <col min="11523" max="11523" width="16" style="501" customWidth="1"/>
    <col min="11524" max="11525" width="8.90625" style="501" customWidth="1"/>
    <col min="11526" max="11526" width="8.6328125" style="501" bestFit="1" customWidth="1"/>
    <col min="11527" max="11776" width="8.90625" style="501"/>
    <col min="11777" max="11777" width="23.08984375" style="501" bestFit="1" customWidth="1"/>
    <col min="11778" max="11778" width="8.90625" style="501" customWidth="1"/>
    <col min="11779" max="11779" width="16" style="501" customWidth="1"/>
    <col min="11780" max="11781" width="8.90625" style="501" customWidth="1"/>
    <col min="11782" max="11782" width="8.6328125" style="501" bestFit="1" customWidth="1"/>
    <col min="11783" max="12032" width="8.90625" style="501"/>
    <col min="12033" max="12033" width="23.08984375" style="501" bestFit="1" customWidth="1"/>
    <col min="12034" max="12034" width="8.90625" style="501" customWidth="1"/>
    <col min="12035" max="12035" width="16" style="501" customWidth="1"/>
    <col min="12036" max="12037" width="8.90625" style="501" customWidth="1"/>
    <col min="12038" max="12038" width="8.6328125" style="501" bestFit="1" customWidth="1"/>
    <col min="12039" max="12288" width="8.90625" style="501"/>
    <col min="12289" max="12289" width="23.08984375" style="501" bestFit="1" customWidth="1"/>
    <col min="12290" max="12290" width="8.90625" style="501" customWidth="1"/>
    <col min="12291" max="12291" width="16" style="501" customWidth="1"/>
    <col min="12292" max="12293" width="8.90625" style="501" customWidth="1"/>
    <col min="12294" max="12294" width="8.6328125" style="501" bestFit="1" customWidth="1"/>
    <col min="12295" max="12544" width="8.90625" style="501"/>
    <col min="12545" max="12545" width="23.08984375" style="501" bestFit="1" customWidth="1"/>
    <col min="12546" max="12546" width="8.90625" style="501" customWidth="1"/>
    <col min="12547" max="12547" width="16" style="501" customWidth="1"/>
    <col min="12548" max="12549" width="8.90625" style="501" customWidth="1"/>
    <col min="12550" max="12550" width="8.6328125" style="501" bestFit="1" customWidth="1"/>
    <col min="12551" max="12800" width="8.90625" style="501"/>
    <col min="12801" max="12801" width="23.08984375" style="501" bestFit="1" customWidth="1"/>
    <col min="12802" max="12802" width="8.90625" style="501" customWidth="1"/>
    <col min="12803" max="12803" width="16" style="501" customWidth="1"/>
    <col min="12804" max="12805" width="8.90625" style="501" customWidth="1"/>
    <col min="12806" max="12806" width="8.6328125" style="501" bestFit="1" customWidth="1"/>
    <col min="12807" max="13056" width="8.90625" style="501"/>
    <col min="13057" max="13057" width="23.08984375" style="501" bestFit="1" customWidth="1"/>
    <col min="13058" max="13058" width="8.90625" style="501" customWidth="1"/>
    <col min="13059" max="13059" width="16" style="501" customWidth="1"/>
    <col min="13060" max="13061" width="8.90625" style="501" customWidth="1"/>
    <col min="13062" max="13062" width="8.6328125" style="501" bestFit="1" customWidth="1"/>
    <col min="13063" max="13312" width="8.90625" style="501"/>
    <col min="13313" max="13313" width="23.08984375" style="501" bestFit="1" customWidth="1"/>
    <col min="13314" max="13314" width="8.90625" style="501" customWidth="1"/>
    <col min="13315" max="13315" width="16" style="501" customWidth="1"/>
    <col min="13316" max="13317" width="8.90625" style="501" customWidth="1"/>
    <col min="13318" max="13318" width="8.6328125" style="501" bestFit="1" customWidth="1"/>
    <col min="13319" max="13568" width="8.90625" style="501"/>
    <col min="13569" max="13569" width="23.08984375" style="501" bestFit="1" customWidth="1"/>
    <col min="13570" max="13570" width="8.90625" style="501" customWidth="1"/>
    <col min="13571" max="13571" width="16" style="501" customWidth="1"/>
    <col min="13572" max="13573" width="8.90625" style="501" customWidth="1"/>
    <col min="13574" max="13574" width="8.6328125" style="501" bestFit="1" customWidth="1"/>
    <col min="13575" max="13824" width="8.90625" style="501"/>
    <col min="13825" max="13825" width="23.08984375" style="501" bestFit="1" customWidth="1"/>
    <col min="13826" max="13826" width="8.90625" style="501" customWidth="1"/>
    <col min="13827" max="13827" width="16" style="501" customWidth="1"/>
    <col min="13828" max="13829" width="8.90625" style="501" customWidth="1"/>
    <col min="13830" max="13830" width="8.6328125" style="501" bestFit="1" customWidth="1"/>
    <col min="13831" max="14080" width="8.90625" style="501"/>
    <col min="14081" max="14081" width="23.08984375" style="501" bestFit="1" customWidth="1"/>
    <col min="14082" max="14082" width="8.90625" style="501" customWidth="1"/>
    <col min="14083" max="14083" width="16" style="501" customWidth="1"/>
    <col min="14084" max="14085" width="8.90625" style="501" customWidth="1"/>
    <col min="14086" max="14086" width="8.6328125" style="501" bestFit="1" customWidth="1"/>
    <col min="14087" max="14336" width="8.90625" style="501"/>
    <col min="14337" max="14337" width="23.08984375" style="501" bestFit="1" customWidth="1"/>
    <col min="14338" max="14338" width="8.90625" style="501" customWidth="1"/>
    <col min="14339" max="14339" width="16" style="501" customWidth="1"/>
    <col min="14340" max="14341" width="8.90625" style="501" customWidth="1"/>
    <col min="14342" max="14342" width="8.6328125" style="501" bestFit="1" customWidth="1"/>
    <col min="14343" max="14592" width="8.90625" style="501"/>
    <col min="14593" max="14593" width="23.08984375" style="501" bestFit="1" customWidth="1"/>
    <col min="14594" max="14594" width="8.90625" style="501" customWidth="1"/>
    <col min="14595" max="14595" width="16" style="501" customWidth="1"/>
    <col min="14596" max="14597" width="8.90625" style="501" customWidth="1"/>
    <col min="14598" max="14598" width="8.6328125" style="501" bestFit="1" customWidth="1"/>
    <col min="14599" max="14848" width="8.90625" style="501"/>
    <col min="14849" max="14849" width="23.08984375" style="501" bestFit="1" customWidth="1"/>
    <col min="14850" max="14850" width="8.90625" style="501" customWidth="1"/>
    <col min="14851" max="14851" width="16" style="501" customWidth="1"/>
    <col min="14852" max="14853" width="8.90625" style="501" customWidth="1"/>
    <col min="14854" max="14854" width="8.6328125" style="501" bestFit="1" customWidth="1"/>
    <col min="14855" max="15104" width="8.90625" style="501"/>
    <col min="15105" max="15105" width="23.08984375" style="501" bestFit="1" customWidth="1"/>
    <col min="15106" max="15106" width="8.90625" style="501" customWidth="1"/>
    <col min="15107" max="15107" width="16" style="501" customWidth="1"/>
    <col min="15108" max="15109" width="8.90625" style="501" customWidth="1"/>
    <col min="15110" max="15110" width="8.6328125" style="501" bestFit="1" customWidth="1"/>
    <col min="15111" max="15360" width="8.90625" style="501"/>
    <col min="15361" max="15361" width="23.08984375" style="501" bestFit="1" customWidth="1"/>
    <col min="15362" max="15362" width="8.90625" style="501" customWidth="1"/>
    <col min="15363" max="15363" width="16" style="501" customWidth="1"/>
    <col min="15364" max="15365" width="8.90625" style="501" customWidth="1"/>
    <col min="15366" max="15366" width="8.6328125" style="501" bestFit="1" customWidth="1"/>
    <col min="15367" max="15616" width="8.90625" style="501"/>
    <col min="15617" max="15617" width="23.08984375" style="501" bestFit="1" customWidth="1"/>
    <col min="15618" max="15618" width="8.90625" style="501" customWidth="1"/>
    <col min="15619" max="15619" width="16" style="501" customWidth="1"/>
    <col min="15620" max="15621" width="8.90625" style="501" customWidth="1"/>
    <col min="15622" max="15622" width="8.6328125" style="501" bestFit="1" customWidth="1"/>
    <col min="15623" max="15872" width="8.90625" style="501"/>
    <col min="15873" max="15873" width="23.08984375" style="501" bestFit="1" customWidth="1"/>
    <col min="15874" max="15874" width="8.90625" style="501" customWidth="1"/>
    <col min="15875" max="15875" width="16" style="501" customWidth="1"/>
    <col min="15876" max="15877" width="8.90625" style="501" customWidth="1"/>
    <col min="15878" max="15878" width="8.6328125" style="501" bestFit="1" customWidth="1"/>
    <col min="15879" max="16128" width="8.90625" style="501"/>
    <col min="16129" max="16129" width="23.08984375" style="501" bestFit="1" customWidth="1"/>
    <col min="16130" max="16130" width="8.90625" style="501" customWidth="1"/>
    <col min="16131" max="16131" width="16" style="501" customWidth="1"/>
    <col min="16132" max="16133" width="8.90625" style="501" customWidth="1"/>
    <col min="16134" max="16134" width="8.6328125" style="501" bestFit="1" customWidth="1"/>
    <col min="16135" max="16384" width="8.90625" style="501"/>
  </cols>
  <sheetData>
    <row r="1" spans="1:256" ht="28.8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6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6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6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6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6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6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6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6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6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6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6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6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6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6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6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6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6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6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6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6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73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5" sqref="B5"/>
    </sheetView>
  </sheetViews>
  <sheetFormatPr defaultRowHeight="15"/>
  <cols>
    <col min="1" max="1" width="11.54296875" customWidth="1"/>
  </cols>
  <sheetData>
    <row r="1" spans="1:3">
      <c r="A1" t="s">
        <v>730</v>
      </c>
      <c r="B1" s="657" t="s">
        <v>1203</v>
      </c>
      <c r="C1" t="s">
        <v>1191</v>
      </c>
    </row>
    <row r="2" spans="1:3">
      <c r="A2" t="s">
        <v>1192</v>
      </c>
      <c r="B2" s="657" t="str">
        <f>VLOOKUP('Cover page'!$E$13,CountryArray,2,FALSE)</f>
        <v>HU</v>
      </c>
      <c r="C2" t="s">
        <v>1193</v>
      </c>
    </row>
    <row r="3" spans="1:3">
      <c r="A3" t="s">
        <v>1194</v>
      </c>
      <c r="B3" s="657" t="str">
        <f>IF(
         COUNTIF('Cover page'!$P$2:$R$7,"not fully completed*") &gt; 0,
         "no", "yes")</f>
        <v>yes</v>
      </c>
      <c r="C3" t="s">
        <v>1195</v>
      </c>
    </row>
    <row r="4" spans="1:3">
      <c r="A4" t="s">
        <v>1196</v>
      </c>
      <c r="B4" s="684" t="s">
        <v>1228</v>
      </c>
      <c r="C4" t="s">
        <v>1197</v>
      </c>
    </row>
    <row r="5" spans="1:3">
      <c r="A5" t="s">
        <v>1198</v>
      </c>
      <c r="B5" s="657" t="s">
        <v>1199</v>
      </c>
      <c r="C5" t="s">
        <v>1200</v>
      </c>
    </row>
    <row r="8" spans="1:3">
      <c r="A8" t="s">
        <v>1201</v>
      </c>
      <c r="B8" t="s">
        <v>1202</v>
      </c>
    </row>
    <row r="11" spans="1:3">
      <c r="A11" t="s">
        <v>1205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="85" zoomScaleNormal="85" zoomScaleSheetLayoutView="80" workbookViewId="0">
      <selection activeCell="C33" sqref="C33"/>
    </sheetView>
  </sheetViews>
  <sheetFormatPr defaultColWidth="9.81640625" defaultRowHeight="15"/>
  <cols>
    <col min="1" max="1" width="35.08984375" style="20" hidden="1" customWidth="1"/>
    <col min="2" max="2" width="37.90625" style="25" bestFit="1" customWidth="1"/>
    <col min="3" max="3" width="54.81640625" style="21" customWidth="1"/>
    <col min="4" max="4" width="10.54296875" style="10" customWidth="1"/>
    <col min="5" max="8" width="11.08984375" style="10" customWidth="1"/>
    <col min="9" max="9" width="11.08984375" style="208" customWidth="1"/>
    <col min="10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8" customHeight="1">
      <c r="A1" s="268"/>
      <c r="B1" s="269"/>
      <c r="C1" s="270" t="s">
        <v>791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2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79" t="s">
        <v>1229</v>
      </c>
      <c r="AA2" s="652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1">
        <f>IF($N$2='Cover page'!$N$2,0,1)</f>
        <v>0</v>
      </c>
      <c r="AA3" s="652"/>
    </row>
    <row r="4" spans="1:50" ht="18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2"/>
    </row>
    <row r="5" spans="1:50" ht="15.6">
      <c r="A5" s="282"/>
      <c r="B5" s="283" t="s">
        <v>485</v>
      </c>
      <c r="C5" s="22" t="s">
        <v>1231</v>
      </c>
      <c r="D5" s="284" t="s">
        <v>465</v>
      </c>
      <c r="E5" s="683">
        <f>2017</f>
        <v>2017</v>
      </c>
      <c r="F5" s="354">
        <f>E5+1</f>
        <v>2018</v>
      </c>
      <c r="G5" s="354">
        <f>F5+1</f>
        <v>2019</v>
      </c>
      <c r="H5" s="354">
        <f>G5+1</f>
        <v>2020</v>
      </c>
      <c r="I5" s="355">
        <f>H5+1</f>
        <v>2021</v>
      </c>
      <c r="J5" s="16"/>
      <c r="AA5" s="652"/>
    </row>
    <row r="6" spans="1:50" ht="15.6">
      <c r="A6" s="282"/>
      <c r="B6" s="285"/>
      <c r="C6" s="286" t="str">
        <f>'Cover page'!E14</f>
        <v>Date: 11/10/2021</v>
      </c>
      <c r="D6" s="284" t="s">
        <v>3</v>
      </c>
      <c r="E6" s="366"/>
      <c r="F6" s="366"/>
      <c r="G6" s="366"/>
      <c r="H6" s="366"/>
      <c r="I6" s="358"/>
      <c r="J6" s="16"/>
      <c r="AA6" s="652"/>
    </row>
    <row r="7" spans="1:50" ht="16.2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2"/>
    </row>
    <row r="8" spans="1:50" ht="15.6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2"/>
    </row>
    <row r="9" spans="1:50" ht="16.2" thickBot="1">
      <c r="A9" s="292"/>
      <c r="B9" s="293"/>
      <c r="C9" s="294" t="s">
        <v>769</v>
      </c>
      <c r="D9" s="295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2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HU.T1.B9_STATUS.S13.MNAC.S.2021</v>
      </c>
    </row>
    <row r="10" spans="1:50" ht="16.8" thickTop="1" thickBot="1">
      <c r="A10" s="296" t="s">
        <v>185</v>
      </c>
      <c r="B10" s="490" t="s">
        <v>879</v>
      </c>
      <c r="C10" s="297" t="s">
        <v>6</v>
      </c>
      <c r="D10" s="298" t="s">
        <v>7</v>
      </c>
      <c r="E10" s="261">
        <v>-965802.22523600177</v>
      </c>
      <c r="F10" s="261">
        <v>-916477.62036599999</v>
      </c>
      <c r="G10" s="261">
        <v>-998763.31412599992</v>
      </c>
      <c r="H10" s="261">
        <v>-3822646.4479154283</v>
      </c>
      <c r="I10" s="211">
        <v>-4078851.1040181769</v>
      </c>
      <c r="J10" s="16"/>
      <c r="AA10" s="652"/>
      <c r="AX10" s="658" t="str">
        <f>CountryCode &amp; ".T1.B9.S13.MNAC." &amp; RefVintage</f>
        <v>HU.T1.B9.S13.MNAC.S.2021</v>
      </c>
    </row>
    <row r="11" spans="1:50" ht="16.2" thickTop="1">
      <c r="A11" s="296" t="s">
        <v>186</v>
      </c>
      <c r="B11" s="490" t="s">
        <v>880</v>
      </c>
      <c r="C11" s="299" t="s">
        <v>8</v>
      </c>
      <c r="D11" s="300" t="s">
        <v>9</v>
      </c>
      <c r="E11" s="87">
        <v>-950459.2643570014</v>
      </c>
      <c r="F11" s="87">
        <v>-1023016.071</v>
      </c>
      <c r="G11" s="87">
        <v>-819476.57395899994</v>
      </c>
      <c r="H11" s="87">
        <v>-3393249.1774084223</v>
      </c>
      <c r="I11" s="212">
        <v>-3490225.6680181767</v>
      </c>
      <c r="J11" s="16"/>
      <c r="AA11" s="652"/>
      <c r="AX11" s="658" t="str">
        <f>CountryCode &amp; ".T1.B9.S1311.MNAC." &amp; RefVintage</f>
        <v>HU.T1.B9.S1311.MNAC.S.2021</v>
      </c>
    </row>
    <row r="12" spans="1:50" ht="15.6">
      <c r="A12" s="296" t="s">
        <v>187</v>
      </c>
      <c r="B12" s="490" t="s">
        <v>881</v>
      </c>
      <c r="C12" s="301" t="s">
        <v>10</v>
      </c>
      <c r="D12" s="302" t="s">
        <v>11</v>
      </c>
      <c r="E12" s="88" t="s">
        <v>1232</v>
      </c>
      <c r="F12" s="88" t="s">
        <v>1232</v>
      </c>
      <c r="G12" s="88" t="s">
        <v>1232</v>
      </c>
      <c r="H12" s="88" t="s">
        <v>1232</v>
      </c>
      <c r="I12" s="213" t="s">
        <v>1232</v>
      </c>
      <c r="J12" s="16"/>
      <c r="AA12" s="652"/>
      <c r="AX12" s="658" t="str">
        <f>CountryCode &amp; ".T1.B9.S1312.MNAC." &amp; RefVintage</f>
        <v>HU.T1.B9.S1312.MNAC.S.2021</v>
      </c>
    </row>
    <row r="13" spans="1:50" ht="15.6">
      <c r="A13" s="296" t="s">
        <v>188</v>
      </c>
      <c r="B13" s="490" t="s">
        <v>882</v>
      </c>
      <c r="C13" s="301" t="s">
        <v>12</v>
      </c>
      <c r="D13" s="302" t="s">
        <v>13</v>
      </c>
      <c r="E13" s="88">
        <v>20538.081457999884</v>
      </c>
      <c r="F13" s="88">
        <v>29926</v>
      </c>
      <c r="G13" s="88">
        <v>-42660.740166999996</v>
      </c>
      <c r="H13" s="88">
        <v>26806.03418999381</v>
      </c>
      <c r="I13" s="213">
        <v>-128617.23599999996</v>
      </c>
      <c r="J13" s="16"/>
      <c r="AA13" s="652"/>
      <c r="AX13" s="658" t="str">
        <f>CountryCode &amp; ".T1.B9.S1313.MNAC." &amp; RefVintage</f>
        <v>HU.T1.B9.S1313.MNAC.S.2021</v>
      </c>
    </row>
    <row r="14" spans="1:50" ht="15.6">
      <c r="A14" s="296" t="s">
        <v>189</v>
      </c>
      <c r="B14" s="490" t="s">
        <v>883</v>
      </c>
      <c r="C14" s="301" t="s">
        <v>14</v>
      </c>
      <c r="D14" s="302" t="s">
        <v>15</v>
      </c>
      <c r="E14" s="88">
        <v>-35881.042337000254</v>
      </c>
      <c r="F14" s="88">
        <v>76612.450634000008</v>
      </c>
      <c r="G14" s="88">
        <v>-136626</v>
      </c>
      <c r="H14" s="88">
        <v>-456203.30469699996</v>
      </c>
      <c r="I14" s="213">
        <v>-460008.20000000019</v>
      </c>
      <c r="J14" s="16"/>
      <c r="AA14" s="652"/>
      <c r="AX14" s="658" t="str">
        <f>CountryCode &amp; ".T1.B9.S1314.MNAC." &amp; RefVintage</f>
        <v>HU.T1.B9.S1314.MNAC.S.2021</v>
      </c>
    </row>
    <row r="15" spans="1:50" ht="16.2" thickBot="1">
      <c r="A15" s="296"/>
      <c r="B15" s="490"/>
      <c r="C15" s="303"/>
      <c r="D15" s="304"/>
      <c r="E15" s="85"/>
      <c r="F15" s="86"/>
      <c r="G15" s="86"/>
      <c r="H15" s="86"/>
      <c r="I15" s="214"/>
      <c r="J15" s="16"/>
      <c r="AA15" s="652"/>
    </row>
    <row r="16" spans="1:50" ht="15.6">
      <c r="A16" s="296"/>
      <c r="B16" s="490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2"/>
    </row>
    <row r="17" spans="1:50" ht="16.2" thickBot="1">
      <c r="A17" s="296"/>
      <c r="B17" s="490"/>
      <c r="C17" s="294" t="s">
        <v>16</v>
      </c>
      <c r="D17" s="307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2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HU.T1.DEBT_STATUS.S13.MNAC.S.2021</v>
      </c>
    </row>
    <row r="18" spans="1:50" ht="16.8" thickTop="1" thickBot="1">
      <c r="A18" s="296" t="s">
        <v>190</v>
      </c>
      <c r="B18" s="490" t="s">
        <v>884</v>
      </c>
      <c r="C18" s="308" t="s">
        <v>483</v>
      </c>
      <c r="D18" s="309"/>
      <c r="E18" s="260">
        <v>28322514</v>
      </c>
      <c r="F18" s="100">
        <v>29970681</v>
      </c>
      <c r="G18" s="100">
        <v>31130527</v>
      </c>
      <c r="H18" s="100">
        <v>38417564</v>
      </c>
      <c r="I18" s="215">
        <v>43195300</v>
      </c>
      <c r="J18" s="16"/>
      <c r="AA18" s="652"/>
      <c r="AX18" s="658" t="str">
        <f>CountryCode &amp; ".T1.DEBT.S13.MNAC." &amp; RefVintage</f>
        <v>HU.T1.DEBT.S13.MNAC.S.2021</v>
      </c>
    </row>
    <row r="19" spans="1:50" ht="16.2" thickTop="1">
      <c r="A19" s="296"/>
      <c r="B19" s="490"/>
      <c r="C19" s="310" t="s">
        <v>17</v>
      </c>
      <c r="D19" s="311"/>
      <c r="E19" s="101"/>
      <c r="F19" s="102"/>
      <c r="G19" s="102"/>
      <c r="H19" s="102"/>
      <c r="I19" s="216"/>
      <c r="J19" s="16"/>
      <c r="AA19" s="652"/>
    </row>
    <row r="20" spans="1:50" ht="15.6">
      <c r="A20" s="296" t="s">
        <v>191</v>
      </c>
      <c r="B20" s="490" t="s">
        <v>885</v>
      </c>
      <c r="C20" s="312" t="s">
        <v>18</v>
      </c>
      <c r="D20" s="302" t="s">
        <v>19</v>
      </c>
      <c r="E20" s="103">
        <v>148085</v>
      </c>
      <c r="F20" s="103">
        <v>176316</v>
      </c>
      <c r="G20" s="103">
        <v>201735</v>
      </c>
      <c r="H20" s="103">
        <v>403039</v>
      </c>
      <c r="I20" s="217"/>
      <c r="J20" s="16"/>
      <c r="AA20" s="652"/>
      <c r="AX20" s="658" t="str">
        <f>CountryCode &amp; ".T1.AF2.S13.MNAC." &amp; RefVintage</f>
        <v>HU.T1.AF2.S13.MNAC.S.2021</v>
      </c>
    </row>
    <row r="21" spans="1:50" ht="15.6">
      <c r="A21" s="313" t="s">
        <v>506</v>
      </c>
      <c r="B21" s="490" t="s">
        <v>886</v>
      </c>
      <c r="C21" s="312" t="s">
        <v>456</v>
      </c>
      <c r="D21" s="302" t="s">
        <v>457</v>
      </c>
      <c r="E21" s="104">
        <v>24847204</v>
      </c>
      <c r="F21" s="104">
        <v>26381434</v>
      </c>
      <c r="G21" s="104">
        <v>27146642.000000004</v>
      </c>
      <c r="H21" s="104">
        <v>33228016.000000004</v>
      </c>
      <c r="I21" s="216"/>
      <c r="J21" s="16"/>
      <c r="AA21" s="652"/>
      <c r="AX21" s="658" t="str">
        <f>CountryCode &amp; ".T1.AF3.S13.MNAC." &amp; RefVintage</f>
        <v>HU.T1.AF3.S13.MNAC.S.2021</v>
      </c>
    </row>
    <row r="22" spans="1:50" ht="15.6">
      <c r="A22" s="313" t="s">
        <v>507</v>
      </c>
      <c r="B22" s="490" t="s">
        <v>887</v>
      </c>
      <c r="C22" s="314" t="s">
        <v>20</v>
      </c>
      <c r="D22" s="302" t="s">
        <v>467</v>
      </c>
      <c r="E22" s="105">
        <v>4683132</v>
      </c>
      <c r="F22" s="105">
        <v>4934604</v>
      </c>
      <c r="G22" s="105">
        <v>3101859</v>
      </c>
      <c r="H22" s="105">
        <v>2011263</v>
      </c>
      <c r="I22" s="217"/>
      <c r="J22" s="16"/>
      <c r="AA22" s="652"/>
      <c r="AX22" s="658" t="str">
        <f>CountryCode &amp; ".T1.AF31.S13.MNAC." &amp; RefVintage</f>
        <v>HU.T1.AF31.S13.MNAC.S.2021</v>
      </c>
    </row>
    <row r="23" spans="1:50" ht="15.6">
      <c r="A23" s="313" t="s">
        <v>508</v>
      </c>
      <c r="B23" s="490" t="s">
        <v>888</v>
      </c>
      <c r="C23" s="315" t="s">
        <v>21</v>
      </c>
      <c r="D23" s="302" t="s">
        <v>468</v>
      </c>
      <c r="E23" s="104">
        <v>20164072</v>
      </c>
      <c r="F23" s="104">
        <v>21446830</v>
      </c>
      <c r="G23" s="104">
        <v>24044783.000000004</v>
      </c>
      <c r="H23" s="104">
        <v>31216753</v>
      </c>
      <c r="I23" s="217"/>
      <c r="J23" s="16"/>
      <c r="AA23" s="652"/>
      <c r="AX23" s="658" t="str">
        <f>CountryCode &amp; ".T1.AF32.S13.MNAC." &amp; RefVintage</f>
        <v>HU.T1.AF32.S13.MNAC.S.2021</v>
      </c>
    </row>
    <row r="24" spans="1:50" ht="15.6">
      <c r="A24" s="296" t="s">
        <v>192</v>
      </c>
      <c r="B24" s="490" t="s">
        <v>889</v>
      </c>
      <c r="C24" s="312" t="s">
        <v>22</v>
      </c>
      <c r="D24" s="302" t="s">
        <v>23</v>
      </c>
      <c r="E24" s="104">
        <v>3327225</v>
      </c>
      <c r="F24" s="104">
        <v>3412930.9999999995</v>
      </c>
      <c r="G24" s="104">
        <v>3782150</v>
      </c>
      <c r="H24" s="104">
        <v>4786509</v>
      </c>
      <c r="I24" s="216"/>
      <c r="J24" s="16"/>
      <c r="N24" s="207"/>
      <c r="AA24" s="652"/>
      <c r="AX24" s="658" t="str">
        <f>CountryCode &amp; ".T1.AF4.S13.MNAC." &amp; RefVintage</f>
        <v>HU.T1.AF4.S13.MNAC.S.2021</v>
      </c>
    </row>
    <row r="25" spans="1:50" ht="15.6">
      <c r="A25" s="296" t="s">
        <v>193</v>
      </c>
      <c r="B25" s="490" t="s">
        <v>890</v>
      </c>
      <c r="C25" s="314" t="s">
        <v>20</v>
      </c>
      <c r="D25" s="302" t="s">
        <v>24</v>
      </c>
      <c r="E25" s="104">
        <v>365462</v>
      </c>
      <c r="F25" s="104">
        <v>294133</v>
      </c>
      <c r="G25" s="104">
        <v>291324</v>
      </c>
      <c r="H25" s="104">
        <v>783448</v>
      </c>
      <c r="I25" s="217"/>
      <c r="J25" s="16"/>
      <c r="N25" s="207"/>
      <c r="AA25" s="652"/>
      <c r="AX25" s="658" t="str">
        <f>CountryCode &amp; ".T1.AF41.S13.MNAC." &amp; RefVintage</f>
        <v>HU.T1.AF41.S13.MNAC.S.2021</v>
      </c>
    </row>
    <row r="26" spans="1:50" ht="15.6">
      <c r="A26" s="296" t="s">
        <v>194</v>
      </c>
      <c r="B26" s="490" t="s">
        <v>891</v>
      </c>
      <c r="C26" s="316" t="s">
        <v>21</v>
      </c>
      <c r="D26" s="302" t="s">
        <v>25</v>
      </c>
      <c r="E26" s="104">
        <v>2961763</v>
      </c>
      <c r="F26" s="103">
        <v>3118798</v>
      </c>
      <c r="G26" s="103">
        <v>3490826</v>
      </c>
      <c r="H26" s="103">
        <v>4003061</v>
      </c>
      <c r="I26" s="217"/>
      <c r="J26" s="16"/>
      <c r="AA26" s="652"/>
      <c r="AX26" s="658" t="str">
        <f>CountryCode &amp; ".T1.AF42.S13.MNAC." &amp; RefVintage</f>
        <v>HU.T1.AF42.S13.MNAC.S.2021</v>
      </c>
    </row>
    <row r="27" spans="1:50">
      <c r="A27" s="296"/>
      <c r="B27" s="490"/>
      <c r="C27" s="317"/>
      <c r="D27" s="318"/>
      <c r="E27" s="203"/>
      <c r="F27" s="204"/>
      <c r="G27" s="204"/>
      <c r="H27" s="204"/>
      <c r="I27" s="216"/>
      <c r="J27" s="16"/>
      <c r="AA27" s="652"/>
    </row>
    <row r="28" spans="1:50" ht="15.6" thickBot="1">
      <c r="A28" s="296"/>
      <c r="B28" s="490"/>
      <c r="C28" s="319"/>
      <c r="D28" s="320"/>
      <c r="E28" s="205"/>
      <c r="F28" s="206"/>
      <c r="G28" s="206"/>
      <c r="H28" s="206"/>
      <c r="I28" s="218"/>
      <c r="J28" s="16"/>
      <c r="AA28" s="652"/>
    </row>
    <row r="29" spans="1:50">
      <c r="A29" s="296"/>
      <c r="B29" s="490"/>
      <c r="C29" s="317"/>
      <c r="D29" s="318"/>
      <c r="E29" s="201"/>
      <c r="F29" s="202"/>
      <c r="G29" s="202"/>
      <c r="H29" s="202"/>
      <c r="I29" s="216"/>
      <c r="J29" s="16"/>
      <c r="AA29" s="652"/>
    </row>
    <row r="30" spans="1:50" ht="15.6">
      <c r="A30" s="296"/>
      <c r="B30" s="490"/>
      <c r="C30" s="294" t="s">
        <v>63</v>
      </c>
      <c r="D30" s="307"/>
      <c r="E30" s="101"/>
      <c r="F30" s="102"/>
      <c r="G30" s="102"/>
      <c r="H30" s="102"/>
      <c r="I30" s="219"/>
      <c r="J30" s="16"/>
      <c r="AA30" s="652"/>
    </row>
    <row r="31" spans="1:50" ht="15.6">
      <c r="A31" s="296" t="s">
        <v>195</v>
      </c>
      <c r="B31" s="490" t="s">
        <v>892</v>
      </c>
      <c r="C31" s="321" t="s">
        <v>26</v>
      </c>
      <c r="D31" s="302" t="s">
        <v>469</v>
      </c>
      <c r="E31" s="104">
        <v>1780046</v>
      </c>
      <c r="F31" s="104">
        <v>2513951.483</v>
      </c>
      <c r="G31" s="104">
        <v>2944346.463</v>
      </c>
      <c r="H31" s="104">
        <v>3080980.0522500002</v>
      </c>
      <c r="I31" s="220">
        <v>3555000</v>
      </c>
      <c r="J31" s="16"/>
      <c r="AA31" s="652"/>
      <c r="AX31" s="658" t="str">
        <f>CountryCode &amp; ".T1.P51.S13.MNAC." &amp; RefVintage</f>
        <v>HU.T1.P51.S13.MNAC.S.2021</v>
      </c>
    </row>
    <row r="32" spans="1:50" ht="15.6">
      <c r="A32" s="313" t="s">
        <v>484</v>
      </c>
      <c r="B32" s="490" t="s">
        <v>893</v>
      </c>
      <c r="C32" s="321" t="s">
        <v>27</v>
      </c>
      <c r="D32" s="302" t="s">
        <v>55</v>
      </c>
      <c r="E32" s="104">
        <v>1039648.5854840004</v>
      </c>
      <c r="F32" s="104">
        <v>1011201.947</v>
      </c>
      <c r="G32" s="104">
        <v>1060616</v>
      </c>
      <c r="H32" s="104">
        <v>1126849.6857614999</v>
      </c>
      <c r="I32" s="220">
        <v>1275620.0071590152</v>
      </c>
      <c r="J32" s="16"/>
      <c r="AA32" s="652"/>
      <c r="AX32" s="658" t="str">
        <f>CountryCode &amp; ".T1.ESAD41.S13.MNAC." &amp; RefVintage</f>
        <v>HU.T1.ESAD41.S13.MNAC.S.2021</v>
      </c>
    </row>
    <row r="33" spans="1:50" ht="15.6" thickBot="1">
      <c r="A33" s="296"/>
      <c r="B33" s="490"/>
      <c r="C33" s="323"/>
      <c r="D33" s="324"/>
      <c r="E33" s="101"/>
      <c r="F33" s="206"/>
      <c r="G33" s="206"/>
      <c r="H33" s="206"/>
      <c r="I33" s="233"/>
      <c r="J33" s="16"/>
      <c r="AA33" s="652"/>
    </row>
    <row r="34" spans="1:50" ht="16.2" thickBot="1">
      <c r="A34" s="296"/>
      <c r="B34" s="490"/>
      <c r="C34" s="290"/>
      <c r="D34" s="325"/>
      <c r="E34" s="106"/>
      <c r="F34" s="107"/>
      <c r="G34" s="107"/>
      <c r="H34" s="107"/>
      <c r="I34" s="221"/>
      <c r="J34" s="16"/>
      <c r="AA34" s="652"/>
    </row>
    <row r="35" spans="1:50" ht="16.8" thickTop="1" thickBot="1">
      <c r="A35" s="296" t="s">
        <v>196</v>
      </c>
      <c r="B35" s="490" t="s">
        <v>894</v>
      </c>
      <c r="C35" s="308" t="s">
        <v>28</v>
      </c>
      <c r="D35" s="326" t="s">
        <v>29</v>
      </c>
      <c r="E35" s="99">
        <v>39281357</v>
      </c>
      <c r="F35" s="100">
        <v>43392436</v>
      </c>
      <c r="G35" s="100">
        <v>47530610</v>
      </c>
      <c r="H35" s="100">
        <v>47988479</v>
      </c>
      <c r="I35" s="215">
        <v>54359700</v>
      </c>
      <c r="J35" s="16"/>
      <c r="AA35" s="652"/>
      <c r="AX35" s="658" t="str">
        <f>CountryCode &amp; ".T1.GDP.S1.MNAC." &amp; RefVintage</f>
        <v>HU.T1.GDP.S1.MNAC.S.2021</v>
      </c>
    </row>
    <row r="36" spans="1:50" ht="25.2" thickTop="1">
      <c r="A36" s="279"/>
      <c r="B36" s="280"/>
      <c r="C36" s="327" t="s">
        <v>30</v>
      </c>
      <c r="D36" s="171"/>
      <c r="J36" s="16"/>
      <c r="AA36" s="652"/>
    </row>
    <row r="37" spans="1:50" ht="13.5" customHeight="1">
      <c r="A37" s="279"/>
      <c r="B37" s="280"/>
      <c r="C37" s="328"/>
      <c r="D37" s="171"/>
      <c r="J37" s="16"/>
      <c r="AA37" s="652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2"/>
    </row>
    <row r="39" spans="1:50" ht="15.6" thickTop="1">
      <c r="A39" s="268"/>
      <c r="B39" s="269"/>
      <c r="C39" s="287"/>
      <c r="D39" s="333"/>
      <c r="AA39" s="652"/>
    </row>
    <row r="40" spans="1:50">
      <c r="A40" s="268"/>
      <c r="B40" s="269"/>
      <c r="C40" s="287"/>
      <c r="D40" s="333"/>
      <c r="AA40" s="652"/>
    </row>
    <row r="41" spans="1:50" ht="32.25" customHeight="1">
      <c r="A41" s="268"/>
      <c r="B41" s="269"/>
      <c r="C41" s="389" t="s">
        <v>122</v>
      </c>
      <c r="D41" s="240"/>
      <c r="E41" s="690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0"/>
      <c r="G41" s="690"/>
      <c r="H41" s="690"/>
      <c r="I41" s="690"/>
      <c r="J41" s="241"/>
      <c r="AA41" s="652"/>
    </row>
    <row r="42" spans="1:50">
      <c r="A42" s="268"/>
      <c r="B42" s="269"/>
      <c r="C42" s="242" t="s">
        <v>123</v>
      </c>
      <c r="D42" s="243"/>
      <c r="E42" s="691"/>
      <c r="F42" s="691"/>
      <c r="G42" s="691"/>
      <c r="H42" s="691"/>
      <c r="I42" s="691"/>
      <c r="J42" s="244"/>
      <c r="AA42" s="652"/>
    </row>
    <row r="43" spans="1:50" ht="15.6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2"/>
    </row>
    <row r="44" spans="1:50" ht="15.6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-3.7252902984619141E-9</v>
      </c>
      <c r="H44" s="246">
        <f>IF(H18="M",0,H18)-IF(H20="M",0,H20)-IF(H21="M",0,H21)-IF(H24="M",0,H24)</f>
        <v>0</v>
      </c>
      <c r="I44" s="246"/>
      <c r="J44" s="247"/>
      <c r="AA44" s="652"/>
    </row>
    <row r="45" spans="1:50" ht="15.6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2"/>
    </row>
    <row r="46" spans="1:50" ht="15.6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2"/>
    </row>
    <row r="47" spans="1:50">
      <c r="AA47" s="652"/>
    </row>
    <row r="48" spans="1:50">
      <c r="AA48" s="652"/>
    </row>
    <row r="49" spans="4:27">
      <c r="AA49" s="652"/>
    </row>
    <row r="50" spans="4:27" ht="15.6">
      <c r="D50" s="13"/>
      <c r="AA50" s="652"/>
    </row>
    <row r="51" spans="4:27" ht="15.6">
      <c r="D51" s="13"/>
    </row>
    <row r="52" spans="4:27" ht="15.6">
      <c r="D52" s="13"/>
    </row>
    <row r="53" spans="4:27" ht="15.6">
      <c r="D53" s="13"/>
    </row>
    <row r="54" spans="4:27" ht="15.6">
      <c r="D54" s="13"/>
    </row>
    <row r="55" spans="4:27" ht="15.6">
      <c r="D55" s="13"/>
    </row>
    <row r="56" spans="4:27" ht="15.6">
      <c r="D56" s="13"/>
    </row>
    <row r="57" spans="4:27" ht="15.6">
      <c r="D57" s="13"/>
    </row>
    <row r="58" spans="4:27" ht="15.6">
      <c r="D58" s="13"/>
    </row>
    <row r="59" spans="4:27" ht="15.6">
      <c r="D59" s="13"/>
    </row>
    <row r="60" spans="4:27" ht="15.6">
      <c r="D60" s="13"/>
    </row>
    <row r="61" spans="4:27" ht="15.6">
      <c r="D61" s="13"/>
    </row>
    <row r="62" spans="4:27" ht="15.6">
      <c r="D62" s="13"/>
    </row>
    <row r="63" spans="4:27" ht="15.6">
      <c r="D63" s="13"/>
    </row>
    <row r="64" spans="4:27" ht="15.6">
      <c r="D64" s="13"/>
    </row>
    <row r="65" spans="4:4" ht="15.6">
      <c r="D65" s="13"/>
    </row>
    <row r="66" spans="4:4" ht="15.6">
      <c r="D66" s="13"/>
    </row>
    <row r="67" spans="4:4" ht="15.6">
      <c r="D67" s="13"/>
    </row>
    <row r="68" spans="4:4" ht="15.6">
      <c r="D68" s="13"/>
    </row>
    <row r="69" spans="4:4" ht="15.6">
      <c r="D69" s="13"/>
    </row>
    <row r="71" spans="4:4" ht="9" customHeight="1"/>
    <row r="73" spans="4:4" ht="12" customHeight="1"/>
    <row r="76" spans="4:4" ht="11.25" customHeight="1"/>
    <row r="78" spans="4:4" ht="15.6">
      <c r="D78" s="13"/>
    </row>
    <row r="79" spans="4:4" ht="15.6">
      <c r="D79" s="13"/>
    </row>
    <row r="80" spans="4:4" ht="15.6">
      <c r="D80" s="13"/>
    </row>
    <row r="81" spans="4:4" ht="10.5" customHeight="1">
      <c r="D81" s="13"/>
    </row>
    <row r="82" spans="4:4" ht="15.6">
      <c r="D82" s="13"/>
    </row>
    <row r="83" spans="4:4" ht="15.6">
      <c r="D83" s="13"/>
    </row>
    <row r="84" spans="4:4" ht="6" customHeight="1">
      <c r="D84" s="13"/>
    </row>
    <row r="85" spans="4:4" ht="15.6">
      <c r="D85" s="13"/>
    </row>
    <row r="86" spans="4:4" ht="15.6">
      <c r="D86" s="13"/>
    </row>
    <row r="87" spans="4:4" ht="15.6">
      <c r="D87" s="13"/>
    </row>
    <row r="88" spans="4:4" ht="15.6">
      <c r="D88" s="13"/>
    </row>
    <row r="89" spans="4:4" ht="15.6">
      <c r="D89" s="13"/>
    </row>
    <row r="90" spans="4:4" ht="15.6">
      <c r="D90" s="13"/>
    </row>
    <row r="91" spans="4:4" ht="15.6">
      <c r="D91" s="13"/>
    </row>
    <row r="92" spans="4:4" ht="15.6">
      <c r="D92" s="13"/>
    </row>
    <row r="93" spans="4:4" ht="15.6">
      <c r="D93" s="13"/>
    </row>
    <row r="94" spans="4:4" ht="15.6">
      <c r="D94" s="13"/>
    </row>
    <row r="95" spans="4:4" ht="15.6">
      <c r="D95" s="13"/>
    </row>
    <row r="96" spans="4:4" ht="15.6">
      <c r="D96" s="13"/>
    </row>
    <row r="97" spans="4:4" ht="15.6">
      <c r="D97" s="13"/>
    </row>
    <row r="98" spans="4:4" ht="15.6">
      <c r="D98" s="13"/>
    </row>
    <row r="99" spans="4:4" ht="15.6">
      <c r="D99" s="13"/>
    </row>
    <row r="100" spans="4:4" ht="15.6">
      <c r="D100" s="13"/>
    </row>
    <row r="101" spans="4:4" ht="15.6">
      <c r="D101" s="13"/>
    </row>
    <row r="102" spans="4:4" ht="15.6">
      <c r="D102" s="13"/>
    </row>
    <row r="103" spans="4:4" ht="15.6">
      <c r="D103" s="13"/>
    </row>
    <row r="104" spans="4:4" ht="15.6">
      <c r="D104" s="13"/>
    </row>
    <row r="105" spans="4:4" ht="15.6">
      <c r="D105" s="13"/>
    </row>
    <row r="107" spans="4:4" ht="9" customHeight="1"/>
    <row r="109" spans="4:4" ht="12" customHeight="1"/>
    <row r="112" spans="4:4" ht="11.25" customHeight="1"/>
    <row r="114" spans="4:4" ht="15.6">
      <c r="D114" s="13"/>
    </row>
    <row r="115" spans="4:4" ht="15.6">
      <c r="D115" s="13"/>
    </row>
    <row r="116" spans="4:4" ht="15.6">
      <c r="D116" s="13"/>
    </row>
    <row r="117" spans="4:4" ht="10.5" customHeight="1">
      <c r="D117" s="13"/>
    </row>
    <row r="118" spans="4:4" ht="15.6">
      <c r="D118" s="13"/>
    </row>
    <row r="119" spans="4:4" ht="15.6">
      <c r="D119" s="13"/>
    </row>
    <row r="120" spans="4:4" ht="6" customHeight="1">
      <c r="D120" s="13"/>
    </row>
    <row r="121" spans="4:4" ht="15.6">
      <c r="D121" s="13"/>
    </row>
    <row r="122" spans="4:4" ht="15.6">
      <c r="D122" s="13"/>
    </row>
    <row r="123" spans="4:4" ht="15.6">
      <c r="D123" s="13"/>
    </row>
    <row r="124" spans="4:4" ht="15.6">
      <c r="D124" s="13"/>
    </row>
    <row r="125" spans="4:4" ht="15.6">
      <c r="D125" s="13"/>
    </row>
    <row r="126" spans="4:4" ht="15.6">
      <c r="D126" s="13"/>
    </row>
    <row r="127" spans="4:4" ht="15.6">
      <c r="D127" s="13"/>
    </row>
    <row r="128" spans="4:4" ht="15.6">
      <c r="D128" s="13"/>
    </row>
    <row r="129" spans="4:4" ht="15.6">
      <c r="D129" s="13"/>
    </row>
    <row r="130" spans="4:4" ht="15.6">
      <c r="D130" s="13"/>
    </row>
    <row r="131" spans="4:4" ht="15.6">
      <c r="D131" s="13"/>
    </row>
    <row r="132" spans="4:4" ht="15.6">
      <c r="D132" s="13"/>
    </row>
    <row r="133" spans="4:4" ht="15.6">
      <c r="D133" s="13"/>
    </row>
    <row r="134" spans="4:4" ht="15.6">
      <c r="D134" s="13"/>
    </row>
    <row r="135" spans="4:4" ht="15.6">
      <c r="D135" s="13"/>
    </row>
    <row r="136" spans="4:4" ht="15.6">
      <c r="D136" s="13"/>
    </row>
    <row r="137" spans="4:4" ht="15.6">
      <c r="D137" s="13"/>
    </row>
    <row r="138" spans="4:4" ht="15.6">
      <c r="D138" s="13"/>
    </row>
    <row r="139" spans="4:4" ht="15.6">
      <c r="D139" s="13"/>
    </row>
    <row r="140" spans="4:4" ht="15.6">
      <c r="D140" s="13"/>
    </row>
    <row r="141" spans="4:4" ht="15.6">
      <c r="D141" s="13"/>
    </row>
    <row r="143" spans="4:4" ht="9" customHeight="1"/>
    <row r="145" spans="4:4" ht="12" customHeight="1"/>
    <row r="148" spans="4:4" ht="11.25" customHeight="1"/>
    <row r="150" spans="4:4" ht="15.6">
      <c r="D150" s="13"/>
    </row>
    <row r="151" spans="4:4" ht="15.6">
      <c r="D151" s="13"/>
    </row>
    <row r="152" spans="4:4" ht="15.6">
      <c r="D152" s="13"/>
    </row>
    <row r="153" spans="4:4" ht="10.5" customHeight="1">
      <c r="D153" s="13"/>
    </row>
    <row r="154" spans="4:4" ht="15.6">
      <c r="D154" s="13"/>
    </row>
    <row r="155" spans="4:4" ht="15.6">
      <c r="D155" s="13"/>
    </row>
    <row r="156" spans="4:4" ht="6" customHeight="1">
      <c r="D156" s="13"/>
    </row>
    <row r="157" spans="4:4" ht="15.6">
      <c r="D157" s="13"/>
    </row>
    <row r="158" spans="4:4" ht="15.6">
      <c r="D158" s="13"/>
    </row>
    <row r="159" spans="4:4" ht="15.6">
      <c r="D159" s="13"/>
    </row>
    <row r="160" spans="4:4" ht="15.6">
      <c r="D160" s="13"/>
    </row>
    <row r="161" spans="4:4" ht="15.6">
      <c r="D161" s="13"/>
    </row>
    <row r="162" spans="4:4" ht="15.6">
      <c r="D162" s="13"/>
    </row>
    <row r="163" spans="4:4" ht="15.6">
      <c r="D163" s="13"/>
    </row>
    <row r="164" spans="4:4" ht="15.6">
      <c r="D164" s="13"/>
    </row>
    <row r="165" spans="4:4" ht="15.6">
      <c r="D165" s="13"/>
    </row>
    <row r="166" spans="4:4" ht="15.6">
      <c r="D166" s="13"/>
    </row>
    <row r="167" spans="4:4" ht="15.6">
      <c r="D167" s="13"/>
    </row>
    <row r="168" spans="4:4" ht="15.6">
      <c r="D168" s="13"/>
    </row>
    <row r="169" spans="4:4" ht="15.6">
      <c r="D169" s="13"/>
    </row>
    <row r="170" spans="4:4" ht="15.6">
      <c r="D170" s="13"/>
    </row>
    <row r="171" spans="4:4" ht="15.6">
      <c r="D171" s="13"/>
    </row>
    <row r="172" spans="4:4" ht="15.6">
      <c r="D172" s="13"/>
    </row>
    <row r="173" spans="4:4" ht="15.6">
      <c r="D173" s="13"/>
    </row>
    <row r="174" spans="4:4" ht="15.6">
      <c r="D174" s="13"/>
    </row>
    <row r="175" spans="4:4" ht="15.6">
      <c r="D175" s="13"/>
    </row>
    <row r="176" spans="4:4" ht="15.6">
      <c r="D176" s="13"/>
    </row>
    <row r="177" spans="4:4" ht="15.6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3.8">
      <c r="A248" s="20"/>
      <c r="B248" s="191"/>
      <c r="C248" s="37"/>
      <c r="I248" s="223"/>
      <c r="AX248" s="659"/>
    </row>
    <row r="249" spans="1:50" s="19" customFormat="1" ht="13.2">
      <c r="A249" s="20"/>
      <c r="B249" s="255"/>
      <c r="C249" s="38"/>
      <c r="I249" s="224"/>
      <c r="AX249" s="660"/>
    </row>
    <row r="250" spans="1:50" s="18" customFormat="1" ht="13.8">
      <c r="A250" s="20"/>
      <c r="B250" s="191"/>
      <c r="C250" s="37"/>
      <c r="I250" s="223"/>
      <c r="AX250" s="659"/>
    </row>
    <row r="251" spans="1:50" s="18" customFormat="1" ht="13.8">
      <c r="A251" s="20"/>
      <c r="B251" s="191"/>
      <c r="C251" s="37"/>
      <c r="I251" s="223"/>
      <c r="AX251" s="659"/>
    </row>
    <row r="252" spans="1:50" s="18" customFormat="1" ht="13.8">
      <c r="A252" s="20"/>
      <c r="B252" s="191"/>
      <c r="C252" s="37"/>
      <c r="I252" s="223"/>
      <c r="AX252" s="659"/>
    </row>
    <row r="253" spans="1:50" s="18" customFormat="1" ht="13.8">
      <c r="A253" s="20"/>
      <c r="B253" s="191"/>
      <c r="C253" s="37"/>
      <c r="I253" s="223"/>
      <c r="AX253" s="659"/>
    </row>
    <row r="254" spans="1:50" s="18" customFormat="1" ht="13.8">
      <c r="A254" s="20"/>
      <c r="B254" s="191"/>
      <c r="C254" s="37"/>
      <c r="I254" s="223"/>
      <c r="AX254" s="659"/>
    </row>
    <row r="255" spans="1:50" s="18" customFormat="1" ht="13.8">
      <c r="A255" s="20"/>
      <c r="B255" s="191"/>
      <c r="C255" s="37"/>
      <c r="I255" s="223"/>
      <c r="AX255" s="659"/>
    </row>
    <row r="256" spans="1:50" s="18" customFormat="1" ht="13.8">
      <c r="A256" s="20"/>
      <c r="B256" s="191"/>
      <c r="C256" s="37"/>
      <c r="I256" s="223"/>
      <c r="AX256" s="659"/>
    </row>
    <row r="257" spans="1:50" s="18" customFormat="1" ht="13.8">
      <c r="A257" s="20"/>
      <c r="B257" s="191"/>
      <c r="C257" s="37"/>
      <c r="I257" s="223"/>
      <c r="AX257" s="659"/>
    </row>
    <row r="258" spans="1:50" s="18" customFormat="1" ht="13.8">
      <c r="A258" s="20"/>
      <c r="B258" s="191"/>
      <c r="C258" s="37"/>
      <c r="I258" s="223"/>
      <c r="AX258" s="659"/>
    </row>
    <row r="259" spans="1:50" s="18" customFormat="1" ht="13.8">
      <c r="A259" s="20"/>
      <c r="B259" s="191"/>
      <c r="C259" s="37"/>
      <c r="I259" s="223"/>
      <c r="AX259" s="659"/>
    </row>
    <row r="260" spans="1:50" s="18" customFormat="1" ht="13.8">
      <c r="A260" s="20"/>
      <c r="B260" s="191"/>
      <c r="C260" s="37"/>
      <c r="I260" s="223"/>
      <c r="AX260" s="659"/>
    </row>
    <row r="261" spans="1:50" s="18" customFormat="1" ht="13.8">
      <c r="A261" s="20"/>
      <c r="B261" s="191"/>
      <c r="C261" s="37"/>
      <c r="I261" s="223"/>
      <c r="AX261" s="659"/>
    </row>
    <row r="262" spans="1:50" s="18" customFormat="1" ht="13.8">
      <c r="A262" s="20"/>
      <c r="B262" s="191"/>
      <c r="C262" s="37"/>
      <c r="I262" s="223"/>
      <c r="AX262" s="659"/>
    </row>
    <row r="263" spans="1:50" s="18" customFormat="1" ht="13.8">
      <c r="A263" s="20"/>
      <c r="B263" s="191"/>
      <c r="C263" s="37"/>
      <c r="I263" s="223"/>
      <c r="AX263" s="659"/>
    </row>
    <row r="264" spans="1:50" s="18" customFormat="1" ht="13.8">
      <c r="A264" s="20"/>
      <c r="B264" s="191"/>
      <c r="C264" s="37"/>
      <c r="I264" s="223"/>
      <c r="AX264" s="659"/>
    </row>
    <row r="265" spans="1:50" s="18" customFormat="1" ht="13.8">
      <c r="A265" s="20"/>
      <c r="B265" s="191"/>
      <c r="C265" s="37"/>
      <c r="I265" s="223"/>
      <c r="AX265" s="659"/>
    </row>
    <row r="266" spans="1:50" s="18" customFormat="1" ht="13.8">
      <c r="A266" s="20"/>
      <c r="B266" s="191"/>
      <c r="C266" s="37"/>
      <c r="I266" s="223"/>
      <c r="AX266" s="659"/>
    </row>
    <row r="267" spans="1:50" s="18" customFormat="1" ht="13.8">
      <c r="A267" s="20"/>
      <c r="B267" s="191"/>
      <c r="C267" s="37"/>
      <c r="I267" s="223"/>
      <c r="AX267" s="659"/>
    </row>
    <row r="268" spans="1:50" s="18" customFormat="1" ht="13.8">
      <c r="A268" s="20"/>
      <c r="B268" s="191"/>
      <c r="C268" s="37"/>
      <c r="I268" s="223"/>
      <c r="AX268" s="659"/>
    </row>
    <row r="269" spans="1:50" s="18" customFormat="1" ht="13.8">
      <c r="A269" s="20"/>
      <c r="B269" s="191"/>
      <c r="C269" s="37"/>
      <c r="I269" s="223"/>
      <c r="AX269" s="659"/>
    </row>
    <row r="270" spans="1:50" s="18" customFormat="1" ht="13.8">
      <c r="A270" s="20"/>
      <c r="B270" s="191"/>
      <c r="C270" s="37"/>
      <c r="I270" s="223"/>
      <c r="AX270" s="659"/>
    </row>
    <row r="271" spans="1:50" s="18" customFormat="1" ht="13.8">
      <c r="A271" s="20"/>
      <c r="B271" s="191"/>
      <c r="C271" s="37"/>
      <c r="I271" s="223"/>
      <c r="AX271" s="659"/>
    </row>
    <row r="272" spans="1:50" s="18" customFormat="1" ht="13.8">
      <c r="A272" s="20"/>
      <c r="B272" s="191"/>
      <c r="C272" s="37"/>
      <c r="I272" s="223"/>
      <c r="AX272" s="659"/>
    </row>
    <row r="273" spans="1:50" s="18" customFormat="1" ht="13.8">
      <c r="A273" s="20"/>
      <c r="B273" s="191"/>
      <c r="C273" s="37"/>
      <c r="I273" s="223"/>
      <c r="AX273" s="659"/>
    </row>
    <row r="274" spans="1:50" s="18" customFormat="1" ht="13.8">
      <c r="A274" s="20"/>
      <c r="B274" s="191"/>
      <c r="C274" s="37"/>
      <c r="I274" s="223"/>
      <c r="AX274" s="659"/>
    </row>
    <row r="275" spans="1:50" s="18" customFormat="1" ht="13.8">
      <c r="A275" s="20"/>
      <c r="B275" s="191"/>
      <c r="C275" s="37"/>
      <c r="I275" s="223"/>
      <c r="AX275" s="659"/>
    </row>
    <row r="276" spans="1:50" s="18" customFormat="1" ht="13.8">
      <c r="A276" s="20"/>
      <c r="B276" s="191"/>
      <c r="C276" s="37"/>
      <c r="I276" s="223"/>
      <c r="AX276" s="659"/>
    </row>
    <row r="277" spans="1:50" s="18" customFormat="1" ht="13.8">
      <c r="A277" s="20"/>
      <c r="B277" s="191"/>
      <c r="C277" s="37"/>
      <c r="I277" s="223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3.8">
      <c r="A302" s="20"/>
      <c r="B302" s="191"/>
      <c r="C302" s="37"/>
      <c r="I302" s="223"/>
      <c r="AX302" s="659"/>
    </row>
    <row r="303" spans="1:50" s="19" customFormat="1" ht="13.2">
      <c r="A303" s="20"/>
      <c r="B303" s="255"/>
      <c r="C303" s="38"/>
      <c r="I303" s="224"/>
      <c r="AX303" s="660"/>
    </row>
    <row r="304" spans="1:50" s="18" customFormat="1" ht="13.8">
      <c r="A304" s="20"/>
      <c r="B304" s="191"/>
      <c r="C304" s="37"/>
      <c r="I304" s="223"/>
      <c r="AX304" s="659"/>
    </row>
    <row r="305" spans="1:50" s="18" customFormat="1" ht="13.8">
      <c r="A305" s="20"/>
      <c r="B305" s="191"/>
      <c r="C305" s="37"/>
      <c r="I305" s="223"/>
      <c r="AX305" s="659"/>
    </row>
    <row r="306" spans="1:50" s="18" customFormat="1" ht="13.8">
      <c r="A306" s="20"/>
      <c r="B306" s="191"/>
      <c r="C306" s="37"/>
      <c r="I306" s="223"/>
      <c r="AX306" s="659"/>
    </row>
    <row r="307" spans="1:50" s="18" customFormat="1" ht="13.8">
      <c r="A307" s="20"/>
      <c r="B307" s="191"/>
      <c r="C307" s="37"/>
      <c r="I307" s="223"/>
      <c r="AX307" s="659"/>
    </row>
    <row r="308" spans="1:50" s="18" customFormat="1" ht="13.8">
      <c r="A308" s="20"/>
      <c r="B308" s="191"/>
      <c r="C308" s="37"/>
      <c r="I308" s="223"/>
      <c r="AX308" s="659"/>
    </row>
    <row r="309" spans="1:50" s="18" customFormat="1" ht="13.8">
      <c r="A309" s="20"/>
      <c r="B309" s="191"/>
      <c r="C309" s="37"/>
      <c r="I309" s="223"/>
      <c r="AX309" s="659"/>
    </row>
    <row r="310" spans="1:50" s="18" customFormat="1" ht="13.8">
      <c r="A310" s="20"/>
      <c r="B310" s="191"/>
      <c r="C310" s="37"/>
      <c r="I310" s="223"/>
      <c r="AX310" s="659"/>
    </row>
    <row r="311" spans="1:50" s="18" customFormat="1" ht="13.8">
      <c r="A311" s="20"/>
      <c r="B311" s="191"/>
      <c r="C311" s="37"/>
      <c r="I311" s="223"/>
      <c r="AX311" s="659"/>
    </row>
    <row r="312" spans="1:50" s="18" customFormat="1" ht="13.8">
      <c r="A312" s="20"/>
      <c r="B312" s="191"/>
      <c r="C312" s="37"/>
      <c r="I312" s="223"/>
      <c r="AX312" s="659"/>
    </row>
    <row r="313" spans="1:50" s="18" customFormat="1" ht="13.8">
      <c r="A313" s="20"/>
      <c r="B313" s="191"/>
      <c r="C313" s="37"/>
      <c r="I313" s="223"/>
      <c r="AX313" s="659"/>
    </row>
    <row r="314" spans="1:50" s="18" customFormat="1" ht="13.8">
      <c r="A314" s="20"/>
      <c r="B314" s="191"/>
      <c r="C314" s="37"/>
      <c r="I314" s="223"/>
      <c r="AX314" s="659"/>
    </row>
    <row r="315" spans="1:50" s="18" customFormat="1" ht="13.8">
      <c r="A315" s="20"/>
      <c r="B315" s="191"/>
      <c r="C315" s="37"/>
      <c r="I315" s="223"/>
      <c r="AX315" s="659"/>
    </row>
    <row r="316" spans="1:50" s="18" customFormat="1" ht="13.8">
      <c r="A316" s="20"/>
      <c r="B316" s="191"/>
      <c r="C316" s="37"/>
      <c r="I316" s="223"/>
      <c r="AX316" s="659"/>
    </row>
    <row r="317" spans="1:50" s="18" customFormat="1" ht="13.8">
      <c r="A317" s="20"/>
      <c r="B317" s="191"/>
      <c r="C317" s="37"/>
      <c r="I317" s="223"/>
      <c r="AX317" s="659"/>
    </row>
    <row r="318" spans="1:50" s="18" customFormat="1" ht="13.8">
      <c r="A318" s="20"/>
      <c r="B318" s="191"/>
      <c r="C318" s="37"/>
      <c r="I318" s="223"/>
      <c r="AX318" s="659"/>
    </row>
    <row r="319" spans="1:50" s="18" customFormat="1" ht="13.8">
      <c r="A319" s="20"/>
      <c r="B319" s="191"/>
      <c r="C319" s="37"/>
      <c r="I319" s="223"/>
      <c r="AX319" s="659"/>
    </row>
    <row r="320" spans="1:50" s="18" customFormat="1" ht="13.8">
      <c r="A320" s="20"/>
      <c r="B320" s="191"/>
      <c r="C320" s="37"/>
      <c r="I320" s="223"/>
      <c r="AX320" s="659"/>
    </row>
    <row r="321" spans="1:50" s="18" customFormat="1" ht="13.8">
      <c r="A321" s="20"/>
      <c r="B321" s="191"/>
      <c r="C321" s="37"/>
      <c r="I321" s="223"/>
      <c r="AX321" s="659"/>
    </row>
    <row r="322" spans="1:50" s="18" customFormat="1" ht="13.8">
      <c r="A322" s="20"/>
      <c r="B322" s="191"/>
      <c r="C322" s="37"/>
      <c r="I322" s="223"/>
      <c r="AX322" s="659"/>
    </row>
    <row r="323" spans="1:50" s="18" customFormat="1" ht="13.8">
      <c r="A323" s="20"/>
      <c r="B323" s="191"/>
      <c r="C323" s="37"/>
      <c r="I323" s="223"/>
      <c r="AX323" s="659"/>
    </row>
    <row r="324" spans="1:50" s="18" customFormat="1" ht="13.8">
      <c r="A324" s="20"/>
      <c r="B324" s="191"/>
      <c r="C324" s="37"/>
      <c r="I324" s="223"/>
      <c r="AX324" s="659"/>
    </row>
    <row r="325" spans="1:50" s="18" customFormat="1" ht="13.8">
      <c r="A325" s="20"/>
      <c r="B325" s="191"/>
      <c r="C325" s="37"/>
      <c r="I325" s="223"/>
      <c r="AX325" s="659"/>
    </row>
    <row r="326" spans="1:50" s="18" customFormat="1" ht="13.8">
      <c r="A326" s="20"/>
      <c r="B326" s="191"/>
      <c r="C326" s="37"/>
      <c r="I326" s="223"/>
      <c r="AX326" s="659"/>
    </row>
    <row r="327" spans="1:50" s="18" customFormat="1" ht="13.8">
      <c r="A327" s="20"/>
      <c r="B327" s="191"/>
      <c r="C327" s="37"/>
      <c r="I327" s="223"/>
      <c r="AX327" s="659"/>
    </row>
    <row r="328" spans="1:50" s="18" customFormat="1" ht="13.8">
      <c r="A328" s="20"/>
      <c r="B328" s="191"/>
      <c r="C328" s="37"/>
      <c r="I328" s="223"/>
      <c r="AX328" s="659"/>
    </row>
    <row r="329" spans="1:50" s="18" customFormat="1" ht="13.8">
      <c r="A329" s="20"/>
      <c r="B329" s="191"/>
      <c r="C329" s="37"/>
      <c r="I329" s="223"/>
      <c r="AX329" s="659"/>
    </row>
    <row r="330" spans="1:50" s="18" customFormat="1" ht="13.8">
      <c r="A330" s="20"/>
      <c r="B330" s="191"/>
      <c r="C330" s="37"/>
      <c r="I330" s="223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3.8">
      <c r="A357" s="20"/>
      <c r="B357" s="191"/>
      <c r="C357" s="37"/>
      <c r="I357" s="223"/>
      <c r="AX357" s="659"/>
    </row>
    <row r="358" spans="1:50" s="19" customFormat="1" ht="13.2">
      <c r="A358" s="20"/>
      <c r="B358" s="255"/>
      <c r="C358" s="38"/>
      <c r="I358" s="224"/>
      <c r="AX358" s="660"/>
    </row>
    <row r="359" spans="1:50" s="18" customFormat="1" ht="13.8">
      <c r="A359" s="20"/>
      <c r="B359" s="191"/>
      <c r="C359" s="37"/>
      <c r="I359" s="223"/>
      <c r="AX359" s="659"/>
    </row>
    <row r="360" spans="1:50" s="18" customFormat="1" ht="13.8">
      <c r="A360" s="20"/>
      <c r="B360" s="191"/>
      <c r="C360" s="37"/>
      <c r="I360" s="223"/>
      <c r="AX360" s="659"/>
    </row>
    <row r="361" spans="1:50" s="18" customFormat="1" ht="13.8">
      <c r="A361" s="20"/>
      <c r="B361" s="191"/>
      <c r="C361" s="37"/>
      <c r="I361" s="223"/>
      <c r="AX361" s="659"/>
    </row>
    <row r="362" spans="1:50" s="18" customFormat="1" ht="13.8">
      <c r="A362" s="20"/>
      <c r="B362" s="191"/>
      <c r="C362" s="37"/>
      <c r="I362" s="223"/>
      <c r="AX362" s="659"/>
    </row>
    <row r="363" spans="1:50" s="18" customFormat="1" ht="13.8">
      <c r="A363" s="20"/>
      <c r="B363" s="191"/>
      <c r="C363" s="37"/>
      <c r="I363" s="223"/>
      <c r="AX363" s="659"/>
    </row>
    <row r="364" spans="1:50" s="18" customFormat="1" ht="13.8">
      <c r="A364" s="20"/>
      <c r="B364" s="191"/>
      <c r="C364" s="37"/>
      <c r="I364" s="223"/>
      <c r="AX364" s="659"/>
    </row>
    <row r="365" spans="1:50" s="18" customFormat="1" ht="13.8">
      <c r="A365" s="20"/>
      <c r="B365" s="191"/>
      <c r="C365" s="37"/>
      <c r="I365" s="223"/>
      <c r="AX365" s="659"/>
    </row>
    <row r="366" spans="1:50" s="18" customFormat="1" ht="13.8">
      <c r="A366" s="20"/>
      <c r="B366" s="191"/>
      <c r="C366" s="37"/>
      <c r="I366" s="223"/>
      <c r="AX366" s="659"/>
    </row>
    <row r="367" spans="1:50" s="18" customFormat="1" ht="13.8">
      <c r="A367" s="20"/>
      <c r="B367" s="191"/>
      <c r="C367" s="37"/>
      <c r="I367" s="223"/>
      <c r="AX367" s="659"/>
    </row>
    <row r="368" spans="1:50" s="18" customFormat="1" ht="13.8">
      <c r="A368" s="20"/>
      <c r="B368" s="191"/>
      <c r="C368" s="37"/>
      <c r="I368" s="223"/>
      <c r="AX368" s="659"/>
    </row>
    <row r="369" spans="1:50" s="18" customFormat="1" ht="13.8">
      <c r="A369" s="20"/>
      <c r="B369" s="191"/>
      <c r="C369" s="37"/>
      <c r="I369" s="223"/>
      <c r="AX369" s="659"/>
    </row>
    <row r="370" spans="1:50" s="18" customFormat="1" ht="13.8">
      <c r="A370" s="20"/>
      <c r="B370" s="191"/>
      <c r="C370" s="37"/>
      <c r="I370" s="223"/>
      <c r="AX370" s="659"/>
    </row>
    <row r="371" spans="1:50" s="18" customFormat="1" ht="13.8">
      <c r="A371" s="20"/>
      <c r="B371" s="191"/>
      <c r="C371" s="37"/>
      <c r="I371" s="223"/>
      <c r="AX371" s="659"/>
    </row>
    <row r="372" spans="1:50" s="18" customFormat="1" ht="13.8">
      <c r="A372" s="20"/>
      <c r="B372" s="191"/>
      <c r="C372" s="37"/>
      <c r="I372" s="223"/>
      <c r="AX372" s="659"/>
    </row>
    <row r="373" spans="1:50" s="18" customFormat="1" ht="13.8">
      <c r="A373" s="20"/>
      <c r="B373" s="191"/>
      <c r="C373" s="37"/>
      <c r="I373" s="223"/>
      <c r="AX373" s="659"/>
    </row>
    <row r="374" spans="1:50" s="18" customFormat="1" ht="13.8">
      <c r="A374" s="20"/>
      <c r="B374" s="191"/>
      <c r="C374" s="37"/>
      <c r="I374" s="223"/>
      <c r="AX374" s="659"/>
    </row>
    <row r="375" spans="1:50" s="18" customFormat="1" ht="13.8">
      <c r="A375" s="20"/>
      <c r="B375" s="191"/>
      <c r="C375" s="37"/>
      <c r="I375" s="223"/>
      <c r="AX375" s="659"/>
    </row>
    <row r="376" spans="1:50" s="18" customFormat="1" ht="13.8">
      <c r="A376" s="20"/>
      <c r="B376" s="191"/>
      <c r="C376" s="37"/>
      <c r="I376" s="223"/>
      <c r="AX376" s="659"/>
    </row>
    <row r="377" spans="1:50" s="18" customFormat="1" ht="13.8">
      <c r="A377" s="20"/>
      <c r="B377" s="191"/>
      <c r="C377" s="37"/>
      <c r="I377" s="223"/>
      <c r="AX377" s="659"/>
    </row>
    <row r="378" spans="1:50" s="18" customFormat="1" ht="13.8">
      <c r="A378" s="20"/>
      <c r="B378" s="191"/>
      <c r="C378" s="37"/>
      <c r="I378" s="223"/>
      <c r="AX378" s="659"/>
    </row>
    <row r="379" spans="1:50" s="18" customFormat="1" ht="13.8">
      <c r="A379" s="20"/>
      <c r="B379" s="191"/>
      <c r="C379" s="37"/>
      <c r="I379" s="223"/>
      <c r="AX379" s="659"/>
    </row>
    <row r="380" spans="1:50" s="18" customFormat="1" ht="13.8">
      <c r="A380" s="20"/>
      <c r="B380" s="191"/>
      <c r="C380" s="37"/>
      <c r="I380" s="223"/>
      <c r="AX380" s="659"/>
    </row>
    <row r="381" spans="1:50" s="18" customFormat="1" ht="13.8">
      <c r="A381" s="20"/>
      <c r="B381" s="191"/>
      <c r="C381" s="37"/>
      <c r="I381" s="223"/>
      <c r="AX381" s="659"/>
    </row>
    <row r="382" spans="1:50" s="18" customFormat="1" ht="13.8">
      <c r="A382" s="20"/>
      <c r="B382" s="191"/>
      <c r="C382" s="37"/>
      <c r="I382" s="223"/>
      <c r="AX382" s="659"/>
    </row>
    <row r="383" spans="1:50" s="18" customFormat="1" ht="13.8">
      <c r="A383" s="20"/>
      <c r="B383" s="191"/>
      <c r="C383" s="37"/>
      <c r="I383" s="223"/>
      <c r="AX383" s="659"/>
    </row>
    <row r="384" spans="1:50" s="18" customFormat="1" ht="13.8">
      <c r="A384" s="20"/>
      <c r="B384" s="191"/>
      <c r="C384" s="37"/>
      <c r="I384" s="223"/>
      <c r="AX384" s="659"/>
    </row>
    <row r="385" spans="1:50" s="18" customFormat="1" ht="13.8">
      <c r="A385" s="20"/>
      <c r="B385" s="191"/>
      <c r="C385" s="37"/>
      <c r="I385" s="223"/>
      <c r="AX385" s="659"/>
    </row>
    <row r="386" spans="1:50" s="18" customFormat="1" ht="13.8">
      <c r="A386" s="20"/>
      <c r="B386" s="191"/>
      <c r="C386" s="37"/>
      <c r="I386" s="223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3.8">
      <c r="A411" s="20"/>
      <c r="B411" s="191"/>
      <c r="C411" s="37"/>
      <c r="I411" s="223"/>
      <c r="AX411" s="659"/>
    </row>
    <row r="412" spans="1:50" s="18" customFormat="1" ht="13.8">
      <c r="A412" s="20"/>
      <c r="B412" s="191"/>
      <c r="C412" s="37"/>
      <c r="I412" s="223"/>
      <c r="AX412" s="659"/>
    </row>
    <row r="413" spans="1:50" s="18" customFormat="1" ht="13.8">
      <c r="A413" s="20"/>
      <c r="B413" s="191"/>
      <c r="C413" s="37"/>
      <c r="I413" s="223"/>
      <c r="AX413" s="659"/>
    </row>
    <row r="414" spans="1:50" s="18" customFormat="1" ht="13.8">
      <c r="A414" s="20"/>
      <c r="B414" s="191"/>
      <c r="C414" s="37"/>
      <c r="I414" s="223"/>
      <c r="AX414" s="659"/>
    </row>
    <row r="415" spans="1:50" s="18" customFormat="1" ht="13.8">
      <c r="A415" s="20"/>
      <c r="B415" s="191"/>
      <c r="C415" s="37"/>
      <c r="I415" s="223"/>
      <c r="AX415" s="659"/>
    </row>
    <row r="416" spans="1:50" s="18" customFormat="1" ht="13.8">
      <c r="A416" s="20"/>
      <c r="B416" s="191"/>
      <c r="C416" s="37"/>
      <c r="I416" s="223"/>
      <c r="AX416" s="659"/>
    </row>
    <row r="417" spans="1:50" s="18" customFormat="1" ht="13.8">
      <c r="A417" s="20"/>
      <c r="B417" s="191"/>
      <c r="C417" s="37"/>
      <c r="I417" s="223"/>
      <c r="AX417" s="659"/>
    </row>
    <row r="418" spans="1:50" s="18" customFormat="1" ht="13.8">
      <c r="A418" s="20"/>
      <c r="B418" s="191"/>
      <c r="C418" s="37"/>
      <c r="I418" s="223"/>
      <c r="AX418" s="659"/>
    </row>
    <row r="419" spans="1:50" s="18" customFormat="1" ht="13.8">
      <c r="A419" s="20"/>
      <c r="B419" s="191"/>
      <c r="C419" s="37"/>
      <c r="I419" s="223"/>
      <c r="AX419" s="659"/>
    </row>
    <row r="420" spans="1:50" s="18" customFormat="1" ht="13.8">
      <c r="A420" s="20"/>
      <c r="B420" s="191"/>
      <c r="C420" s="37"/>
      <c r="I420" s="223"/>
      <c r="AX420" s="659"/>
    </row>
    <row r="421" spans="1:50" s="18" customFormat="1" ht="13.8">
      <c r="A421" s="20"/>
      <c r="B421" s="191"/>
      <c r="C421" s="37"/>
      <c r="I421" s="223"/>
      <c r="AX421" s="659"/>
    </row>
    <row r="422" spans="1:50" s="18" customFormat="1" ht="13.8">
      <c r="A422" s="20"/>
      <c r="B422" s="191"/>
      <c r="C422" s="37"/>
      <c r="I422" s="223"/>
      <c r="AX422" s="659"/>
    </row>
    <row r="423" spans="1:50" s="18" customFormat="1" ht="13.8">
      <c r="A423" s="20"/>
      <c r="B423" s="191"/>
      <c r="C423" s="37"/>
      <c r="I423" s="223"/>
      <c r="AX423" s="659"/>
    </row>
    <row r="424" spans="1:50" s="18" customFormat="1" ht="13.8">
      <c r="A424" s="20"/>
      <c r="B424" s="191"/>
      <c r="C424" s="37"/>
      <c r="I424" s="223"/>
      <c r="AX424" s="659"/>
    </row>
    <row r="425" spans="1:50" s="18" customFormat="1" ht="13.8">
      <c r="A425" s="20"/>
      <c r="B425" s="191"/>
      <c r="C425" s="37"/>
      <c r="I425" s="223"/>
      <c r="AX425" s="659"/>
    </row>
    <row r="426" spans="1:50" s="18" customFormat="1" ht="13.8">
      <c r="A426" s="20"/>
      <c r="B426" s="191"/>
      <c r="C426" s="37"/>
      <c r="I426" s="223"/>
      <c r="AX426" s="659"/>
    </row>
    <row r="427" spans="1:50" s="18" customFormat="1" ht="13.8">
      <c r="A427" s="20"/>
      <c r="B427" s="191"/>
      <c r="C427" s="37"/>
      <c r="I427" s="223"/>
      <c r="AX427" s="659"/>
    </row>
    <row r="428" spans="1:50" s="18" customFormat="1" ht="13.8">
      <c r="A428" s="20"/>
      <c r="B428" s="191"/>
      <c r="C428" s="37"/>
      <c r="I428" s="223"/>
      <c r="AX428" s="659"/>
    </row>
    <row r="429" spans="1:50" s="18" customFormat="1" ht="13.8">
      <c r="A429" s="20"/>
      <c r="B429" s="191"/>
      <c r="C429" s="37"/>
      <c r="I429" s="223"/>
      <c r="AX429" s="659"/>
    </row>
    <row r="430" spans="1:50" s="18" customFormat="1" ht="13.8">
      <c r="A430" s="20"/>
      <c r="B430" s="191"/>
      <c r="C430" s="37"/>
      <c r="I430" s="223"/>
      <c r="AX430" s="659"/>
    </row>
    <row r="431" spans="1:50" s="18" customFormat="1" ht="13.8">
      <c r="A431" s="20"/>
      <c r="B431" s="191"/>
      <c r="C431" s="37"/>
      <c r="I431" s="223"/>
      <c r="AX431" s="659"/>
    </row>
    <row r="432" spans="1:50" s="18" customFormat="1" ht="13.8">
      <c r="A432" s="20"/>
      <c r="B432" s="191"/>
      <c r="C432" s="37"/>
      <c r="I432" s="223"/>
      <c r="AX432" s="659"/>
    </row>
    <row r="433" spans="1:50" s="18" customFormat="1" ht="13.8">
      <c r="A433" s="20"/>
      <c r="B433" s="191"/>
      <c r="C433" s="37"/>
      <c r="I433" s="223"/>
      <c r="AX433" s="659"/>
    </row>
    <row r="434" spans="1:50" s="18" customFormat="1" ht="13.8">
      <c r="A434" s="20"/>
      <c r="B434" s="191"/>
      <c r="C434" s="37"/>
      <c r="I434" s="223"/>
      <c r="AX434" s="659"/>
    </row>
    <row r="435" spans="1:50" s="18" customFormat="1" ht="13.8">
      <c r="A435" s="20"/>
      <c r="B435" s="191"/>
      <c r="C435" s="37"/>
      <c r="I435" s="223"/>
      <c r="AX435" s="659"/>
    </row>
    <row r="436" spans="1:50" s="18" customFormat="1" ht="13.8">
      <c r="A436" s="20"/>
      <c r="B436" s="191"/>
      <c r="C436" s="37"/>
      <c r="I436" s="223"/>
      <c r="AX436" s="659"/>
    </row>
    <row r="437" spans="1:50" s="18" customFormat="1" ht="13.8">
      <c r="A437" s="20"/>
      <c r="B437" s="191"/>
      <c r="C437" s="37"/>
      <c r="I437" s="223"/>
      <c r="AX437" s="659"/>
    </row>
    <row r="438" spans="1:50" s="18" customFormat="1" ht="13.8">
      <c r="A438" s="20"/>
      <c r="B438" s="191"/>
      <c r="C438" s="37"/>
      <c r="I438" s="223"/>
      <c r="AX438" s="659"/>
    </row>
    <row r="439" spans="1:50" s="18" customFormat="1" ht="13.8">
      <c r="A439" s="20"/>
      <c r="B439" s="191"/>
      <c r="C439" s="37"/>
      <c r="I439" s="223"/>
      <c r="AX439" s="659"/>
    </row>
    <row r="440" spans="1:50" s="18" customFormat="1" ht="9" customHeight="1">
      <c r="A440" s="20"/>
      <c r="B440" s="191"/>
      <c r="C440" s="37"/>
      <c r="I440" s="223"/>
      <c r="AX440" s="659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9" priority="2" stopIfTrue="1">
      <formula>(COUNTA(E10:I14,E18:I18,E20:H26,E31:I32,E35:I35)/73)*100&lt;&gt;100</formula>
    </cfRule>
  </conditionalFormatting>
  <conditionalFormatting sqref="E35:I35 E31:I32 E20:H26 E18:I18 E10:I14">
    <cfRule type="cellIs" dxfId="28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3"/>
  <sheetViews>
    <sheetView showGridLines="0" defaultGridColor="0" topLeftCell="B40" colorId="22" zoomScaleNormal="100" zoomScaleSheetLayoutView="80" workbookViewId="0">
      <selection activeCell="E42" sqref="E42"/>
    </sheetView>
  </sheetViews>
  <sheetFormatPr defaultColWidth="9.81640625" defaultRowHeight="15"/>
  <cols>
    <col min="1" max="1" width="45.6328125" style="20" hidden="1" customWidth="1"/>
    <col min="2" max="2" width="41.1796875" style="253" bestFit="1" customWidth="1"/>
    <col min="3" max="3" width="64.1796875" style="25" customWidth="1"/>
    <col min="4" max="7" width="12.81640625" style="10" customWidth="1"/>
    <col min="8" max="8" width="12.81640625" style="208" customWidth="1"/>
    <col min="9" max="9" width="95.453125" style="10" bestFit="1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5"/>
      <c r="C1" s="343" t="s">
        <v>792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1229</v>
      </c>
    </row>
    <row r="3" spans="1:50" ht="16.2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 ht="15.6">
      <c r="A5" s="282"/>
      <c r="B5" s="283" t="s">
        <v>485</v>
      </c>
      <c r="C5" s="22" t="s">
        <v>1231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46"/>
      <c r="J5" s="45"/>
      <c r="O5" s="13"/>
    </row>
    <row r="6" spans="1:50" ht="15.6">
      <c r="A6" s="282"/>
      <c r="B6" s="338"/>
      <c r="C6" s="286" t="str">
        <f>'Cover page'!E14</f>
        <v>Date: 11/10/2021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5"/>
      <c r="I7" s="34"/>
      <c r="J7" s="45"/>
      <c r="O7" s="13"/>
    </row>
    <row r="8" spans="1:50" ht="16.8" thickTop="1" thickBot="1">
      <c r="A8" s="340" t="s">
        <v>197</v>
      </c>
      <c r="B8" s="490" t="s">
        <v>895</v>
      </c>
      <c r="C8" s="368" t="s">
        <v>67</v>
      </c>
      <c r="D8" s="89">
        <v>-1690325.0000000009</v>
      </c>
      <c r="E8" s="90">
        <v>-1367743</v>
      </c>
      <c r="F8" s="90">
        <v>-893004</v>
      </c>
      <c r="G8" s="90">
        <v>-4669259.2</v>
      </c>
      <c r="H8" s="494">
        <v>-4024070.5000000047</v>
      </c>
      <c r="I8" s="1"/>
      <c r="J8" s="51"/>
      <c r="O8" s="13"/>
      <c r="AX8" s="658" t="str">
        <f>CountryCode &amp; ".T2.WB.S1311.MNAC." &amp; RefVintage</f>
        <v>HU.T2.WB.S1311.MNAC.S.2021</v>
      </c>
    </row>
    <row r="9" spans="1:50" ht="16.2" thickTop="1">
      <c r="A9" s="340"/>
      <c r="B9" s="490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2"/>
      <c r="J9" s="52"/>
      <c r="O9" s="13"/>
    </row>
    <row r="10" spans="1:50" ht="11.25" customHeight="1">
      <c r="A10" s="340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>
        <f>IFERROR(VLOOKUP(H9,StatusTable,2,FALSE), -1)</f>
        <v>4</v>
      </c>
      <c r="I10" s="135"/>
      <c r="J10" s="52"/>
      <c r="O10" s="13"/>
      <c r="AX10" s="658" t="str">
        <f>CountryCode &amp; ".T2.WB_STATUS.S1311.MNAC." &amp; RefVintage</f>
        <v>HU.T2.WB_STATUS.S1311.MNAC.S.2021</v>
      </c>
    </row>
    <row r="11" spans="1:50" ht="15.6">
      <c r="A11" s="340" t="s">
        <v>198</v>
      </c>
      <c r="B11" s="490" t="s">
        <v>896</v>
      </c>
      <c r="C11" s="370" t="s">
        <v>92</v>
      </c>
      <c r="D11" s="136">
        <v>-108500.66901400001</v>
      </c>
      <c r="E11" s="136">
        <v>10869</v>
      </c>
      <c r="F11" s="136">
        <v>146960</v>
      </c>
      <c r="G11" s="136">
        <v>447191.40828899998</v>
      </c>
      <c r="H11" s="136">
        <v>198419.23758583236</v>
      </c>
      <c r="I11" s="137"/>
      <c r="J11" s="52"/>
      <c r="O11" s="13"/>
      <c r="AX11" s="658" t="str">
        <f>CountryCode &amp; ".T2.FT.S1311.MNAC." &amp; RefVintage</f>
        <v>HU.T2.FT.S1311.MNAC.S.2021</v>
      </c>
    </row>
    <row r="12" spans="1:50" ht="15.6">
      <c r="A12" s="340" t="s">
        <v>199</v>
      </c>
      <c r="B12" s="490" t="s">
        <v>897</v>
      </c>
      <c r="C12" s="371" t="s">
        <v>31</v>
      </c>
      <c r="D12" s="136">
        <v>139585.24151299999</v>
      </c>
      <c r="E12" s="136">
        <v>102789</v>
      </c>
      <c r="F12" s="136">
        <v>151626</v>
      </c>
      <c r="G12" s="136">
        <v>238631</v>
      </c>
      <c r="H12" s="136">
        <v>24374.446372832379</v>
      </c>
      <c r="I12" s="137" t="s">
        <v>36</v>
      </c>
      <c r="J12" s="52"/>
      <c r="O12" s="13"/>
      <c r="AX12" s="658" t="str">
        <f>CountryCode &amp; ".T2.F4ACQ.S1311.MNAC." &amp; RefVintage</f>
        <v>HU.T2.F4ACQ.S1311.MNAC.S.2021</v>
      </c>
    </row>
    <row r="13" spans="1:50" ht="15.6">
      <c r="A13" s="340" t="s">
        <v>200</v>
      </c>
      <c r="B13" s="490" t="s">
        <v>898</v>
      </c>
      <c r="C13" s="372" t="s">
        <v>32</v>
      </c>
      <c r="D13" s="136">
        <v>-13248.508934999998</v>
      </c>
      <c r="E13" s="136">
        <v>-13951</v>
      </c>
      <c r="F13" s="136">
        <v>-25128</v>
      </c>
      <c r="G13" s="136">
        <v>-43791</v>
      </c>
      <c r="H13" s="136">
        <v>-27999.7</v>
      </c>
      <c r="I13" s="137"/>
      <c r="J13" s="52"/>
      <c r="O13" s="13"/>
      <c r="AX13" s="658" t="str">
        <f>CountryCode &amp; ".T2.F4DIS.S1311.MNAC." &amp; RefVintage</f>
        <v>HU.T2.F4DIS.S1311.MNAC.S.2021</v>
      </c>
    </row>
    <row r="14" spans="1:50" ht="15.6">
      <c r="A14" s="340" t="s">
        <v>201</v>
      </c>
      <c r="B14" s="490" t="s">
        <v>899</v>
      </c>
      <c r="C14" s="372" t="s">
        <v>33</v>
      </c>
      <c r="D14" s="136">
        <v>41849.862690999995</v>
      </c>
      <c r="E14" s="136">
        <v>16236</v>
      </c>
      <c r="F14" s="136">
        <v>161642</v>
      </c>
      <c r="G14" s="136">
        <v>346717</v>
      </c>
      <c r="H14" s="136">
        <v>119686</v>
      </c>
      <c r="I14" s="137" t="s">
        <v>1285</v>
      </c>
      <c r="J14" s="52"/>
      <c r="O14" s="13"/>
      <c r="AX14" s="658" t="str">
        <f>CountryCode &amp; ".T2.F5ACQ.S1311.MNAC." &amp; RefVintage</f>
        <v>HU.T2.F5ACQ.S1311.MNAC.S.2021</v>
      </c>
    </row>
    <row r="15" spans="1:50" ht="15.6">
      <c r="A15" s="340" t="s">
        <v>202</v>
      </c>
      <c r="B15" s="490" t="s">
        <v>900</v>
      </c>
      <c r="C15" s="373" t="s">
        <v>34</v>
      </c>
      <c r="D15" s="136">
        <v>-147.881362</v>
      </c>
      <c r="E15" s="136">
        <v>-4598</v>
      </c>
      <c r="F15" s="136">
        <v>-19813</v>
      </c>
      <c r="G15" s="136">
        <v>-2721</v>
      </c>
      <c r="H15" s="136">
        <v>0</v>
      </c>
      <c r="I15" s="137"/>
      <c r="J15" s="52"/>
      <c r="O15" s="13"/>
      <c r="AX15" s="658" t="str">
        <f>CountryCode &amp; ".T2.F5DIS.S1311.MNAC." &amp; RefVintage</f>
        <v>HU.T2.F5DIS.S1311.MNAC.S.2021</v>
      </c>
    </row>
    <row r="16" spans="1:50" ht="15.6">
      <c r="A16" s="340" t="s">
        <v>203</v>
      </c>
      <c r="B16" s="490" t="s">
        <v>901</v>
      </c>
      <c r="C16" s="266" t="s">
        <v>35</v>
      </c>
      <c r="D16" s="264">
        <v>-276539.38292100001</v>
      </c>
      <c r="E16" s="264">
        <v>-89607</v>
      </c>
      <c r="F16" s="264">
        <v>-121367</v>
      </c>
      <c r="G16" s="264">
        <v>-91644.591711000001</v>
      </c>
      <c r="H16" s="264">
        <v>82358.491212999987</v>
      </c>
      <c r="I16" s="137"/>
      <c r="J16" s="52"/>
      <c r="O16" s="13"/>
      <c r="AX16" s="658" t="str">
        <f>CountryCode &amp; ".T2.OFT.S1311.MNAC." &amp; RefVintage</f>
        <v>HU.T2.OFT.S1311.MNAC.S.2021</v>
      </c>
    </row>
    <row r="17" spans="1:50" ht="16.2" thickBot="1">
      <c r="A17" s="340" t="s">
        <v>204</v>
      </c>
      <c r="B17" s="490" t="s">
        <v>902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58" t="str">
        <f>CountryCode &amp; ".T2.OFTDL.S1311.MNAC." &amp; RefVintage</f>
        <v>HU.T2.OFTDL.S1311.MNAC.S.2021</v>
      </c>
    </row>
    <row r="18" spans="1:50" ht="16.2" thickBot="1">
      <c r="A18" s="341" t="s">
        <v>486</v>
      </c>
      <c r="B18" s="490" t="s">
        <v>903</v>
      </c>
      <c r="C18" s="265" t="s">
        <v>513</v>
      </c>
      <c r="D18" s="264">
        <v>-113887</v>
      </c>
      <c r="E18" s="264">
        <v>-85235</v>
      </c>
      <c r="F18" s="264">
        <v>-97018</v>
      </c>
      <c r="G18" s="264">
        <v>-80359</v>
      </c>
      <c r="H18" s="264">
        <v>-53956.908787</v>
      </c>
      <c r="I18" s="137"/>
      <c r="J18" s="52"/>
      <c r="O18" s="13"/>
      <c r="AX18" s="658" t="str">
        <f>CountryCode &amp; ".T2.F71K.S1311.MNAC." &amp; RefVintage</f>
        <v>HU.T2.F71K.S1311.MNAC.S.2021</v>
      </c>
    </row>
    <row r="19" spans="1:50" ht="15.6">
      <c r="A19" s="176" t="s">
        <v>205</v>
      </c>
      <c r="B19" s="490" t="s">
        <v>904</v>
      </c>
      <c r="C19" s="146" t="s">
        <v>1233</v>
      </c>
      <c r="D19" s="138">
        <v>48833.163814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8" t="str">
        <f>CountryCode &amp; ".T2.OFT1.S1311.MNAC." &amp; RefVintage</f>
        <v>HU.T2.OFT1.S1311.MNAC.S.2021</v>
      </c>
    </row>
    <row r="20" spans="1:50" ht="15.6">
      <c r="A20" s="176" t="s">
        <v>206</v>
      </c>
      <c r="B20" s="490" t="s">
        <v>905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HU.T2.OFT2.S1311.MNAC.S.2021</v>
      </c>
    </row>
    <row r="21" spans="1:50" ht="15.6">
      <c r="A21" s="340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 ht="15.6">
      <c r="A22" s="340" t="s">
        <v>207</v>
      </c>
      <c r="B22" s="490" t="s">
        <v>906</v>
      </c>
      <c r="C22" s="263" t="s">
        <v>121</v>
      </c>
      <c r="D22" s="264" t="s">
        <v>1232</v>
      </c>
      <c r="E22" s="264" t="s">
        <v>1232</v>
      </c>
      <c r="F22" s="264" t="s">
        <v>1232</v>
      </c>
      <c r="G22" s="264" t="s">
        <v>1232</v>
      </c>
      <c r="H22" s="264" t="s">
        <v>1232</v>
      </c>
      <c r="I22" s="137"/>
      <c r="J22" s="52"/>
      <c r="O22" s="13"/>
      <c r="AX22" s="658" t="str">
        <f>CountryCode &amp; ".T2.ONFT.S1311.MNAC." &amp; RefVintage</f>
        <v>HU.T2.ONFT.S1311.MNAC.S.2021</v>
      </c>
    </row>
    <row r="23" spans="1:50" ht="15.6">
      <c r="A23" s="176" t="s">
        <v>208</v>
      </c>
      <c r="B23" s="490" t="s">
        <v>907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HU.T2.ONFT1.S1311.MNAC.S.2021</v>
      </c>
    </row>
    <row r="24" spans="1:50" ht="15.6">
      <c r="A24" s="176" t="s">
        <v>209</v>
      </c>
      <c r="B24" s="490" t="s">
        <v>908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HU.T2.ONFT2.S1311.MNAC.S.2021</v>
      </c>
    </row>
    <row r="25" spans="1:50" ht="15.6">
      <c r="A25" s="340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 ht="15.6">
      <c r="A26" s="340" t="s">
        <v>210</v>
      </c>
      <c r="B26" s="490" t="s">
        <v>909</v>
      </c>
      <c r="C26" s="370" t="s">
        <v>470</v>
      </c>
      <c r="D26" s="136">
        <v>154737</v>
      </c>
      <c r="E26" s="136">
        <v>86106</v>
      </c>
      <c r="F26" s="136">
        <v>-47276</v>
      </c>
      <c r="G26" s="136">
        <v>26536</v>
      </c>
      <c r="H26" s="136">
        <v>136457.65010658005</v>
      </c>
      <c r="I26" s="141"/>
      <c r="J26" s="52"/>
      <c r="O26" s="13"/>
      <c r="AX26" s="658" t="str">
        <f>CountryCode &amp; ".T2.D41DIF.S1311.MNAC." &amp; RefVintage</f>
        <v>HU.T2.D41DIF.S1311.MNAC.S.2021</v>
      </c>
    </row>
    <row r="27" spans="1:50" ht="15.6">
      <c r="A27" s="340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 ht="15.6">
      <c r="A28" s="340" t="s">
        <v>534</v>
      </c>
      <c r="B28" s="490" t="s">
        <v>910</v>
      </c>
      <c r="C28" s="263" t="s">
        <v>48</v>
      </c>
      <c r="D28" s="264">
        <v>202885.42972099976</v>
      </c>
      <c r="E28" s="264">
        <v>40299</v>
      </c>
      <c r="F28" s="264">
        <v>114682.18506799999</v>
      </c>
      <c r="G28" s="264">
        <v>-82729</v>
      </c>
      <c r="H28" s="264">
        <v>387270.70000000007</v>
      </c>
      <c r="I28" s="137"/>
      <c r="J28" s="52"/>
      <c r="O28" s="13"/>
      <c r="AX28" s="658" t="str">
        <f>CountryCode &amp; ".T2.F8ASS.S1311.MNAC." &amp; RefVintage</f>
        <v>HU.T2.F8ASS.S1311.MNAC.S.2021</v>
      </c>
    </row>
    <row r="29" spans="1:50" ht="15.6">
      <c r="A29" s="176" t="s">
        <v>535</v>
      </c>
      <c r="B29" s="490" t="s">
        <v>911</v>
      </c>
      <c r="C29" s="146" t="s">
        <v>1234</v>
      </c>
      <c r="D29" s="138">
        <v>-379</v>
      </c>
      <c r="E29" s="138">
        <v>-28</v>
      </c>
      <c r="F29" s="138">
        <v>-2112</v>
      </c>
      <c r="G29" s="138">
        <v>-1183</v>
      </c>
      <c r="H29" s="138">
        <v>2348.2000000000007</v>
      </c>
      <c r="I29" s="139"/>
      <c r="J29" s="52"/>
      <c r="O29" s="13"/>
      <c r="AX29" s="658" t="str">
        <f>CountryCode &amp; ".T2.F8ASS1.S1311.MNAC." &amp; RefVintage</f>
        <v>HU.T2.F8ASS1.S1311.MNAC.S.2021</v>
      </c>
    </row>
    <row r="30" spans="1:50" ht="15.6">
      <c r="A30" s="176"/>
      <c r="B30" s="490" t="s">
        <v>912</v>
      </c>
      <c r="C30" s="146" t="s">
        <v>1235</v>
      </c>
      <c r="D30" s="138">
        <v>41922.642119999975</v>
      </c>
      <c r="E30" s="138">
        <v>64195</v>
      </c>
      <c r="F30" s="138">
        <v>115881.533278</v>
      </c>
      <c r="G30" s="138">
        <v>20631</v>
      </c>
      <c r="H30" s="138">
        <v>-12006.900000000005</v>
      </c>
      <c r="I30" s="139"/>
      <c r="J30" s="52"/>
      <c r="O30" s="13"/>
    </row>
    <row r="31" spans="1:50" ht="15.6">
      <c r="A31" s="176"/>
      <c r="B31" s="490" t="s">
        <v>1243</v>
      </c>
      <c r="C31" s="146" t="s">
        <v>1236</v>
      </c>
      <c r="D31" s="138">
        <v>26040</v>
      </c>
      <c r="E31" s="138">
        <v>26040</v>
      </c>
      <c r="F31" s="138">
        <v>-6460</v>
      </c>
      <c r="G31" s="138">
        <v>-97680</v>
      </c>
      <c r="H31" s="138">
        <v>33066</v>
      </c>
      <c r="I31" s="139"/>
      <c r="J31" s="52"/>
      <c r="O31" s="13"/>
    </row>
    <row r="32" spans="1:50" ht="15.6">
      <c r="A32" s="176"/>
      <c r="B32" s="490" t="s">
        <v>1244</v>
      </c>
      <c r="C32" s="146" t="s">
        <v>1237</v>
      </c>
      <c r="D32" s="138">
        <v>30888.7</v>
      </c>
      <c r="E32" s="138">
        <v>23736</v>
      </c>
      <c r="F32" s="138">
        <v>150460</v>
      </c>
      <c r="G32" s="138">
        <v>15553</v>
      </c>
      <c r="H32" s="138">
        <v>40900</v>
      </c>
      <c r="I32" s="139"/>
      <c r="J32" s="52"/>
      <c r="O32" s="13"/>
    </row>
    <row r="33" spans="1:50" ht="15.6">
      <c r="A33" s="176"/>
      <c r="B33" s="490" t="s">
        <v>1245</v>
      </c>
      <c r="C33" s="146" t="s">
        <v>1238</v>
      </c>
      <c r="D33" s="138">
        <v>-17588</v>
      </c>
      <c r="E33" s="138">
        <v>1909</v>
      </c>
      <c r="F33" s="138">
        <v>2427</v>
      </c>
      <c r="G33" s="138">
        <v>283</v>
      </c>
      <c r="H33" s="138">
        <v>2800</v>
      </c>
      <c r="I33" s="139"/>
      <c r="J33" s="52"/>
      <c r="O33" s="13"/>
    </row>
    <row r="34" spans="1:50" ht="15.6">
      <c r="A34" s="176"/>
      <c r="B34" s="490" t="s">
        <v>1246</v>
      </c>
      <c r="C34" s="146" t="s">
        <v>1239</v>
      </c>
      <c r="D34" s="138">
        <v>0</v>
      </c>
      <c r="E34" s="138">
        <v>0</v>
      </c>
      <c r="F34" s="138">
        <v>0</v>
      </c>
      <c r="G34" s="138">
        <v>3867</v>
      </c>
      <c r="H34" s="138">
        <v>-3867</v>
      </c>
      <c r="I34" s="139"/>
      <c r="J34" s="52"/>
      <c r="O34" s="13"/>
    </row>
    <row r="35" spans="1:50" ht="15.6">
      <c r="A35" s="176"/>
      <c r="B35" s="490" t="s">
        <v>1247</v>
      </c>
      <c r="C35" s="146" t="s">
        <v>1240</v>
      </c>
      <c r="D35" s="138">
        <v>112357.69289299997</v>
      </c>
      <c r="E35" s="138">
        <v>-75259</v>
      </c>
      <c r="F35" s="138">
        <v>-145873.34821000003</v>
      </c>
      <c r="G35" s="138">
        <v>-23533</v>
      </c>
      <c r="H35" s="138">
        <v>324030.40000000002</v>
      </c>
      <c r="I35" s="139"/>
      <c r="J35" s="52"/>
      <c r="O35" s="13"/>
    </row>
    <row r="36" spans="1:50" ht="15.6">
      <c r="A36" s="176"/>
      <c r="B36" s="490" t="s">
        <v>1248</v>
      </c>
      <c r="C36" s="146" t="s">
        <v>1242</v>
      </c>
      <c r="D36" s="138">
        <v>0</v>
      </c>
      <c r="E36" s="138">
        <v>-15000</v>
      </c>
      <c r="F36" s="138">
        <v>-77954</v>
      </c>
      <c r="G36" s="138">
        <v>-148847</v>
      </c>
      <c r="H36" s="138">
        <v>-102804.975542</v>
      </c>
      <c r="I36" s="139" t="s">
        <v>1286</v>
      </c>
      <c r="J36" s="52"/>
      <c r="O36" s="13"/>
    </row>
    <row r="37" spans="1:50" ht="15.6">
      <c r="A37" s="176" t="s">
        <v>536</v>
      </c>
      <c r="B37" s="490" t="s">
        <v>1249</v>
      </c>
      <c r="C37" s="146" t="s">
        <v>1241</v>
      </c>
      <c r="D37" s="138">
        <v>9643.3947079998088</v>
      </c>
      <c r="E37" s="138">
        <v>-294</v>
      </c>
      <c r="F37" s="138">
        <v>359</v>
      </c>
      <c r="G37" s="138">
        <v>-667</v>
      </c>
      <c r="H37" s="138">
        <v>0</v>
      </c>
      <c r="I37" s="139" t="s">
        <v>1287</v>
      </c>
      <c r="J37" s="52"/>
      <c r="O37" s="13"/>
      <c r="AX37" s="658" t="str">
        <f>CountryCode &amp; ".T2.F8ASS2.S1311.MNAC." &amp; RefVintage</f>
        <v>HU.T2.F8ASS2.S1311.MNAC.S.2021</v>
      </c>
    </row>
    <row r="38" spans="1:50" ht="15.6">
      <c r="A38" s="340" t="s">
        <v>531</v>
      </c>
      <c r="B38" s="490" t="s">
        <v>913</v>
      </c>
      <c r="C38" s="263" t="s">
        <v>47</v>
      </c>
      <c r="D38" s="264">
        <v>450244.30293600005</v>
      </c>
      <c r="E38" s="264">
        <v>261640</v>
      </c>
      <c r="F38" s="264">
        <v>-224389</v>
      </c>
      <c r="G38" s="264">
        <v>-78727.7</v>
      </c>
      <c r="H38" s="264">
        <v>-159573.20000000001</v>
      </c>
      <c r="I38" s="137"/>
      <c r="J38" s="52"/>
      <c r="O38" s="13"/>
      <c r="AX38" s="658" t="str">
        <f>CountryCode &amp; ".T2.F8LIA.S1311.MNAC." &amp; RefVintage</f>
        <v>HU.T2.F8LIA.S1311.MNAC.S.2021</v>
      </c>
    </row>
    <row r="39" spans="1:50" ht="15.6">
      <c r="A39" s="176" t="s">
        <v>532</v>
      </c>
      <c r="B39" s="490" t="s">
        <v>914</v>
      </c>
      <c r="C39" s="146" t="s">
        <v>1258</v>
      </c>
      <c r="D39" s="138">
        <v>-39368</v>
      </c>
      <c r="E39" s="138">
        <v>1291</v>
      </c>
      <c r="F39" s="138">
        <v>-34322</v>
      </c>
      <c r="G39" s="138">
        <v>64599</v>
      </c>
      <c r="H39" s="138">
        <v>0</v>
      </c>
      <c r="I39" s="139"/>
      <c r="J39" s="52"/>
      <c r="O39" s="13"/>
      <c r="AX39" s="658" t="str">
        <f>CountryCode &amp; ".T2.F8LIA1.S1311.MNAC." &amp; RefVintage</f>
        <v>HU.T2.F8LIA1.S1311.MNAC.S.2021</v>
      </c>
    </row>
    <row r="40" spans="1:50" ht="15.6">
      <c r="A40" s="176"/>
      <c r="B40" s="490" t="s">
        <v>915</v>
      </c>
      <c r="C40" s="146" t="s">
        <v>1259</v>
      </c>
      <c r="D40" s="138">
        <v>-19668</v>
      </c>
      <c r="E40" s="138">
        <v>-13532</v>
      </c>
      <c r="F40" s="138">
        <v>-10498</v>
      </c>
      <c r="G40" s="138">
        <v>-14638</v>
      </c>
      <c r="H40" s="138">
        <v>0</v>
      </c>
      <c r="I40" s="139"/>
      <c r="J40" s="52"/>
      <c r="O40" s="13"/>
    </row>
    <row r="41" spans="1:50" ht="15.6">
      <c r="A41" s="176"/>
      <c r="B41" s="490" t="s">
        <v>1250</v>
      </c>
      <c r="C41" s="146" t="s">
        <v>1260</v>
      </c>
      <c r="D41" s="138">
        <v>56386</v>
      </c>
      <c r="E41" s="138">
        <v>118705</v>
      </c>
      <c r="F41" s="138">
        <v>-90566</v>
      </c>
      <c r="G41" s="138">
        <v>28614</v>
      </c>
      <c r="H41" s="138">
        <v>0</v>
      </c>
      <c r="I41" s="139"/>
      <c r="J41" s="52"/>
      <c r="O41" s="13"/>
    </row>
    <row r="42" spans="1:50" ht="15.6">
      <c r="A42" s="176"/>
      <c r="B42" s="490" t="s">
        <v>1251</v>
      </c>
      <c r="C42" s="146" t="s">
        <v>1261</v>
      </c>
      <c r="D42" s="138">
        <v>-244</v>
      </c>
      <c r="E42" s="138">
        <v>-1639</v>
      </c>
      <c r="F42" s="138">
        <v>-18881</v>
      </c>
      <c r="G42" s="138">
        <v>21578</v>
      </c>
      <c r="H42" s="138">
        <v>0</v>
      </c>
      <c r="I42" s="139"/>
      <c r="J42" s="52"/>
      <c r="O42" s="13"/>
    </row>
    <row r="43" spans="1:50" ht="15.6">
      <c r="A43" s="176"/>
      <c r="B43" s="490" t="s">
        <v>1252</v>
      </c>
      <c r="C43" s="146" t="s">
        <v>1262</v>
      </c>
      <c r="D43" s="138">
        <v>24630.302936000051</v>
      </c>
      <c r="E43" s="138">
        <v>-9094</v>
      </c>
      <c r="F43" s="138">
        <v>20281</v>
      </c>
      <c r="G43" s="138">
        <v>-15901</v>
      </c>
      <c r="H43" s="138">
        <v>-2216</v>
      </c>
      <c r="I43" s="139" t="s">
        <v>1288</v>
      </c>
      <c r="J43" s="52"/>
      <c r="O43" s="13"/>
    </row>
    <row r="44" spans="1:50" ht="15.6">
      <c r="A44" s="176"/>
      <c r="B44" s="490" t="s">
        <v>1253</v>
      </c>
      <c r="C44" s="146" t="s">
        <v>1263</v>
      </c>
      <c r="D44" s="138">
        <v>-29269</v>
      </c>
      <c r="E44" s="138">
        <v>-33284</v>
      </c>
      <c r="F44" s="138">
        <v>36018</v>
      </c>
      <c r="G44" s="138">
        <v>46163.3</v>
      </c>
      <c r="H44" s="138">
        <v>-34936.899999999994</v>
      </c>
      <c r="I44" s="139"/>
      <c r="J44" s="52"/>
      <c r="O44" s="13"/>
    </row>
    <row r="45" spans="1:50" ht="15.6">
      <c r="A45" s="176"/>
      <c r="B45" s="490" t="s">
        <v>1254</v>
      </c>
      <c r="C45" s="146" t="s">
        <v>1264</v>
      </c>
      <c r="D45" s="138">
        <v>475823</v>
      </c>
      <c r="E45" s="138">
        <v>199671</v>
      </c>
      <c r="F45" s="138">
        <v>-49405</v>
      </c>
      <c r="G45" s="138">
        <v>-106662</v>
      </c>
      <c r="H45" s="138">
        <v>-50800.3</v>
      </c>
      <c r="I45" s="139"/>
      <c r="J45" s="52"/>
      <c r="O45" s="13"/>
    </row>
    <row r="46" spans="1:50" ht="15.6">
      <c r="A46" s="176"/>
      <c r="B46" s="490" t="s">
        <v>1255</v>
      </c>
      <c r="C46" s="146" t="s">
        <v>1265</v>
      </c>
      <c r="D46" s="138">
        <v>-6880</v>
      </c>
      <c r="E46" s="138">
        <v>-757</v>
      </c>
      <c r="F46" s="138">
        <v>0</v>
      </c>
      <c r="G46" s="138">
        <v>0</v>
      </c>
      <c r="H46" s="138">
        <v>0</v>
      </c>
      <c r="I46" s="139"/>
      <c r="J46" s="52"/>
      <c r="O46" s="13"/>
    </row>
    <row r="47" spans="1:50" ht="15.6">
      <c r="A47" s="176"/>
      <c r="B47" s="490" t="s">
        <v>1256</v>
      </c>
      <c r="C47" s="146" t="s">
        <v>1266</v>
      </c>
      <c r="D47" s="138">
        <v>-11257</v>
      </c>
      <c r="E47" s="138">
        <v>0</v>
      </c>
      <c r="F47" s="138">
        <v>0</v>
      </c>
      <c r="G47" s="138">
        <v>0</v>
      </c>
      <c r="H47" s="138">
        <v>0</v>
      </c>
      <c r="I47" s="139"/>
      <c r="J47" s="52"/>
      <c r="O47" s="13"/>
    </row>
    <row r="48" spans="1:50" ht="15.6">
      <c r="A48" s="176" t="s">
        <v>533</v>
      </c>
      <c r="B48" s="490" t="s">
        <v>1257</v>
      </c>
      <c r="C48" s="146" t="s">
        <v>1267</v>
      </c>
      <c r="D48" s="138">
        <v>91</v>
      </c>
      <c r="E48" s="138">
        <v>279</v>
      </c>
      <c r="F48" s="138">
        <v>-77016</v>
      </c>
      <c r="G48" s="138">
        <v>-102481</v>
      </c>
      <c r="H48" s="138">
        <v>-71620</v>
      </c>
      <c r="I48" s="139" t="s">
        <v>1289</v>
      </c>
      <c r="J48" s="52"/>
      <c r="O48" s="13"/>
      <c r="AX48" s="658" t="str">
        <f>CountryCode &amp; ".T2.F8LIA2.S1311.MNAC." &amp; RefVintage</f>
        <v>HU.T2.F8LIA2.S1311.MNAC.S.2021</v>
      </c>
    </row>
    <row r="49" spans="1:50" ht="15.6">
      <c r="A49" s="342"/>
      <c r="B49" s="490"/>
      <c r="C49" s="262"/>
      <c r="D49" s="142"/>
      <c r="E49" s="143"/>
      <c r="F49" s="143"/>
      <c r="G49" s="143"/>
      <c r="H49" s="143"/>
      <c r="I49" s="137"/>
      <c r="J49" s="52"/>
      <c r="O49" s="13"/>
    </row>
    <row r="50" spans="1:50" ht="15.6">
      <c r="A50" s="340" t="s">
        <v>211</v>
      </c>
      <c r="B50" s="490" t="s">
        <v>916</v>
      </c>
      <c r="C50" s="263" t="s">
        <v>76</v>
      </c>
      <c r="D50" s="264" t="s">
        <v>1232</v>
      </c>
      <c r="E50" s="264" t="s">
        <v>1232</v>
      </c>
      <c r="F50" s="264" t="s">
        <v>1232</v>
      </c>
      <c r="G50" s="264" t="s">
        <v>1232</v>
      </c>
      <c r="H50" s="264" t="s">
        <v>1232</v>
      </c>
      <c r="I50" s="137"/>
      <c r="J50" s="52"/>
      <c r="O50" s="13"/>
      <c r="AX50" s="658" t="str">
        <f>CountryCode &amp; ".T2.B9_OWB.S1311.MNAC." &amp; RefVintage</f>
        <v>HU.T2.B9_OWB.S1311.MNAC.S.2021</v>
      </c>
    </row>
    <row r="51" spans="1:50" ht="15.6">
      <c r="A51" s="340" t="s">
        <v>212</v>
      </c>
      <c r="B51" s="490" t="s">
        <v>917</v>
      </c>
      <c r="C51" s="263" t="s">
        <v>785</v>
      </c>
      <c r="D51" s="264">
        <v>106867.6719999999</v>
      </c>
      <c r="E51" s="264">
        <v>121946.929</v>
      </c>
      <c r="F51" s="264">
        <v>219507.24097300007</v>
      </c>
      <c r="G51" s="264">
        <v>1125513.4493025772</v>
      </c>
      <c r="H51" s="264">
        <v>12094.052981889981</v>
      </c>
      <c r="I51" s="137"/>
      <c r="J51" s="52"/>
      <c r="O51" s="13"/>
      <c r="AX51" s="658" t="str">
        <f>CountryCode &amp; ".T2.B9_OB.S1311.MNAC." &amp; RefVintage</f>
        <v>HU.T2.B9_OB.S1311.MNAC.S.2021</v>
      </c>
    </row>
    <row r="52" spans="1:50" ht="15.6">
      <c r="A52" s="176" t="s">
        <v>213</v>
      </c>
      <c r="B52" s="490" t="s">
        <v>918</v>
      </c>
      <c r="C52" s="146" t="s">
        <v>1268</v>
      </c>
      <c r="D52" s="138">
        <v>100589.6719999999</v>
      </c>
      <c r="E52" s="138">
        <v>108574.929</v>
      </c>
      <c r="F52" s="138">
        <v>174548.80000000005</v>
      </c>
      <c r="G52" s="138">
        <v>946352.71542757715</v>
      </c>
      <c r="H52" s="138">
        <v>-193726.67250243403</v>
      </c>
      <c r="I52" s="139"/>
      <c r="J52" s="52"/>
      <c r="O52" s="13"/>
      <c r="AX52" s="658" t="str">
        <f>CountryCode &amp; ".T2.B9_OB1.S1311.MNAC." &amp; RefVintage</f>
        <v>HU.T2.B9_OB1.S1311.MNAC.S.2021</v>
      </c>
    </row>
    <row r="53" spans="1:50" ht="15.6">
      <c r="A53" s="176" t="s">
        <v>214</v>
      </c>
      <c r="B53" s="490" t="s">
        <v>919</v>
      </c>
      <c r="C53" s="146" t="s">
        <v>1269</v>
      </c>
      <c r="D53" s="138">
        <v>6278</v>
      </c>
      <c r="E53" s="138">
        <v>13372</v>
      </c>
      <c r="F53" s="138">
        <v>44958.440973000004</v>
      </c>
      <c r="G53" s="138">
        <v>179160.73387499998</v>
      </c>
      <c r="H53" s="138">
        <v>205820.72548432401</v>
      </c>
      <c r="I53" s="139"/>
      <c r="J53" s="52"/>
      <c r="O53" s="13"/>
      <c r="AX53" s="658" t="str">
        <f>CountryCode &amp; ".T2.B9_OB2.S1311.MNAC." &amp; RefVintage</f>
        <v>HU.T2.B9_OB2.S1311.MNAC.S.2021</v>
      </c>
    </row>
    <row r="54" spans="1:50" ht="15.6">
      <c r="A54" s="340"/>
      <c r="B54" s="490"/>
      <c r="C54" s="147"/>
      <c r="D54" s="140"/>
      <c r="E54" s="93"/>
      <c r="F54" s="93"/>
      <c r="G54" s="93"/>
      <c r="H54" s="93"/>
      <c r="I54" s="137"/>
      <c r="J54" s="52"/>
      <c r="O54" s="13"/>
    </row>
    <row r="55" spans="1:50" ht="15.6">
      <c r="A55" s="340" t="s">
        <v>215</v>
      </c>
      <c r="B55" s="490" t="s">
        <v>920</v>
      </c>
      <c r="C55" s="263" t="s">
        <v>49</v>
      </c>
      <c r="D55" s="264">
        <v>-66368</v>
      </c>
      <c r="E55" s="264">
        <v>-176134</v>
      </c>
      <c r="F55" s="264">
        <v>-135957</v>
      </c>
      <c r="G55" s="264">
        <v>-161774.13500000001</v>
      </c>
      <c r="H55" s="264">
        <v>-40823.608692474139</v>
      </c>
      <c r="I55" s="137"/>
      <c r="J55" s="52"/>
      <c r="O55" s="13"/>
      <c r="AX55" s="658" t="str">
        <f>CountryCode &amp; ".T2.OA.S1311.MNAC." &amp; RefVintage</f>
        <v>HU.T2.OA.S1311.MNAC.S.2021</v>
      </c>
    </row>
    <row r="56" spans="1:50" ht="15.6">
      <c r="A56" s="176" t="s">
        <v>216</v>
      </c>
      <c r="B56" s="490" t="s">
        <v>921</v>
      </c>
      <c r="C56" s="146" t="s">
        <v>1275</v>
      </c>
      <c r="D56" s="138">
        <v>-89693</v>
      </c>
      <c r="E56" s="138">
        <v>-137503</v>
      </c>
      <c r="F56" s="138">
        <v>-83988</v>
      </c>
      <c r="G56" s="138">
        <v>-210923.13500000001</v>
      </c>
      <c r="H56" s="138">
        <v>0</v>
      </c>
      <c r="I56" s="139"/>
      <c r="J56" s="52"/>
      <c r="O56" s="13"/>
      <c r="AX56" s="658" t="str">
        <f>CountryCode &amp; ".T2.OA1.S1311.MNAC." &amp; RefVintage</f>
        <v>HU.T2.OA1.S1311.MNAC.S.2021</v>
      </c>
    </row>
    <row r="57" spans="1:50" ht="15.6">
      <c r="A57" s="176" t="s">
        <v>217</v>
      </c>
      <c r="B57" s="490" t="s">
        <v>922</v>
      </c>
      <c r="C57" s="146" t="s">
        <v>1276</v>
      </c>
      <c r="D57" s="138">
        <v>-4762</v>
      </c>
      <c r="E57" s="138">
        <v>-4611</v>
      </c>
      <c r="F57" s="138">
        <v>-4519</v>
      </c>
      <c r="G57" s="138">
        <v>-4970</v>
      </c>
      <c r="H57" s="138">
        <v>-3165.0657467808824</v>
      </c>
      <c r="I57" s="139"/>
      <c r="J57" s="52"/>
      <c r="O57" s="13"/>
      <c r="AX57" s="658" t="str">
        <f>CountryCode &amp; ".T2.OA2.S1311.MNAC." &amp; RefVintage</f>
        <v>HU.T2.OA2.S1311.MNAC.S.2021</v>
      </c>
    </row>
    <row r="58" spans="1:50" ht="15.6">
      <c r="A58" s="176"/>
      <c r="B58" s="490" t="s">
        <v>923</v>
      </c>
      <c r="C58" s="146" t="s">
        <v>1277</v>
      </c>
      <c r="D58" s="138">
        <v>22718</v>
      </c>
      <c r="E58" s="138">
        <v>-878</v>
      </c>
      <c r="F58" s="138">
        <v>-20380</v>
      </c>
      <c r="G58" s="138">
        <v>-20041</v>
      </c>
      <c r="H58" s="138">
        <v>0</v>
      </c>
      <c r="I58" s="139"/>
      <c r="J58" s="52"/>
      <c r="O58" s="13"/>
    </row>
    <row r="59" spans="1:50" ht="15.6">
      <c r="A59" s="176"/>
      <c r="B59" s="490" t="s">
        <v>924</v>
      </c>
      <c r="C59" s="146" t="s">
        <v>1278</v>
      </c>
      <c r="D59" s="138">
        <v>12359</v>
      </c>
      <c r="E59" s="138">
        <v>15653</v>
      </c>
      <c r="F59" s="138">
        <v>19132</v>
      </c>
      <c r="G59" s="138">
        <v>22808</v>
      </c>
      <c r="H59" s="138">
        <v>26686.457054306738</v>
      </c>
      <c r="I59" s="139"/>
      <c r="J59" s="52"/>
      <c r="O59" s="13"/>
    </row>
    <row r="60" spans="1:50" ht="15.6">
      <c r="A60" s="176"/>
      <c r="B60" s="490" t="s">
        <v>925</v>
      </c>
      <c r="C60" s="146" t="s">
        <v>1279</v>
      </c>
      <c r="D60" s="138">
        <v>0</v>
      </c>
      <c r="E60" s="138">
        <v>-41562</v>
      </c>
      <c r="F60" s="138">
        <v>0</v>
      </c>
      <c r="G60" s="138">
        <v>0</v>
      </c>
      <c r="H60" s="138">
        <v>0</v>
      </c>
      <c r="I60" s="139"/>
      <c r="J60" s="52"/>
      <c r="O60" s="13"/>
    </row>
    <row r="61" spans="1:50" ht="15.6">
      <c r="A61" s="176"/>
      <c r="B61" s="490" t="s">
        <v>1270</v>
      </c>
      <c r="C61" s="146" t="s">
        <v>1280</v>
      </c>
      <c r="D61" s="138">
        <v>-9651</v>
      </c>
      <c r="E61" s="138">
        <v>-9493</v>
      </c>
      <c r="F61" s="138">
        <v>0</v>
      </c>
      <c r="G61" s="138">
        <v>0</v>
      </c>
      <c r="H61" s="138">
        <v>0</v>
      </c>
      <c r="I61" s="139"/>
      <c r="J61" s="52"/>
      <c r="O61" s="13"/>
    </row>
    <row r="62" spans="1:50" ht="15.6">
      <c r="A62" s="176" t="s">
        <v>218</v>
      </c>
      <c r="B62" s="490" t="s">
        <v>1271</v>
      </c>
      <c r="C62" s="146" t="s">
        <v>1281</v>
      </c>
      <c r="D62" s="138">
        <v>2661</v>
      </c>
      <c r="E62" s="138">
        <v>4125</v>
      </c>
      <c r="F62" s="138">
        <v>19599</v>
      </c>
      <c r="G62" s="138">
        <v>51352</v>
      </c>
      <c r="H62" s="138">
        <v>37655</v>
      </c>
      <c r="I62" s="139"/>
      <c r="J62" s="52"/>
      <c r="O62" s="13"/>
      <c r="AX62" s="658" t="str">
        <f>CountryCode &amp; ".T2.OA3.S1311.MNAC." &amp; RefVintage</f>
        <v>HU.T2.OA3.S1311.MNAC.S.2021</v>
      </c>
    </row>
    <row r="63" spans="1:50" ht="15.6">
      <c r="A63" s="176" t="s">
        <v>219</v>
      </c>
      <c r="B63" s="490" t="s">
        <v>1272</v>
      </c>
      <c r="C63" s="146" t="s">
        <v>1282</v>
      </c>
      <c r="D63" s="138">
        <v>0</v>
      </c>
      <c r="E63" s="138">
        <v>0</v>
      </c>
      <c r="F63" s="138">
        <v>-62340</v>
      </c>
      <c r="G63" s="138">
        <v>0</v>
      </c>
      <c r="H63" s="138">
        <v>0</v>
      </c>
      <c r="I63" s="139"/>
      <c r="J63" s="52"/>
      <c r="O63" s="13"/>
      <c r="AX63" s="658" t="str">
        <f>CountryCode &amp; ".T2.OA4.S1311.MNAC." &amp; RefVintage</f>
        <v>HU.T2.OA4.S1311.MNAC.S.2021</v>
      </c>
    </row>
    <row r="64" spans="1:50" ht="15.6">
      <c r="A64" s="176"/>
      <c r="B64" s="490" t="s">
        <v>1273</v>
      </c>
      <c r="C64" s="146" t="s">
        <v>1283</v>
      </c>
      <c r="D64" s="138">
        <v>0</v>
      </c>
      <c r="E64" s="138">
        <v>-1865</v>
      </c>
      <c r="F64" s="138">
        <v>-3461</v>
      </c>
      <c r="G64" s="138">
        <v>0</v>
      </c>
      <c r="H64" s="138">
        <v>0</v>
      </c>
      <c r="I64" s="139"/>
      <c r="J64" s="52"/>
      <c r="O64" s="13"/>
    </row>
    <row r="65" spans="1:50" ht="15.6">
      <c r="A65" s="176" t="s">
        <v>220</v>
      </c>
      <c r="B65" s="490" t="s">
        <v>1274</v>
      </c>
      <c r="C65" s="146" t="s">
        <v>1284</v>
      </c>
      <c r="D65" s="138">
        <v>0</v>
      </c>
      <c r="E65" s="138">
        <v>0</v>
      </c>
      <c r="F65" s="138">
        <v>0</v>
      </c>
      <c r="G65" s="138">
        <v>0</v>
      </c>
      <c r="H65" s="138">
        <v>-102000</v>
      </c>
      <c r="I65" s="139"/>
      <c r="J65" s="52"/>
      <c r="O65" s="13"/>
      <c r="AX65" s="658" t="str">
        <f>CountryCode &amp; ".T2.OA5.S1311.MNAC." &amp; RefVintage</f>
        <v>HU.T2.OA5.S1311.MNAC.S.2021</v>
      </c>
    </row>
    <row r="66" spans="1:50" ht="16.2" thickBot="1">
      <c r="A66" s="340"/>
      <c r="B66" s="591"/>
      <c r="C66" s="179"/>
      <c r="D66" s="144"/>
      <c r="E66" s="145"/>
      <c r="F66" s="145"/>
      <c r="G66" s="145"/>
      <c r="H66" s="145"/>
      <c r="I66" s="3"/>
      <c r="J66" s="52"/>
      <c r="O66" s="13"/>
    </row>
    <row r="67" spans="1:50" ht="16.8" thickTop="1" thickBot="1">
      <c r="A67" s="340" t="s">
        <v>221</v>
      </c>
      <c r="B67" s="592" t="s">
        <v>926</v>
      </c>
      <c r="C67" s="374" t="s">
        <v>770</v>
      </c>
      <c r="D67" s="91">
        <v>-950459.2643570014</v>
      </c>
      <c r="E67" s="91">
        <v>-1023016.071</v>
      </c>
      <c r="F67" s="91">
        <v>-819476.57395899994</v>
      </c>
      <c r="G67" s="91">
        <v>-3393249.1774084223</v>
      </c>
      <c r="H67" s="92">
        <v>-3490225.6680181767</v>
      </c>
      <c r="I67" s="4"/>
      <c r="J67" s="51"/>
      <c r="O67" s="13"/>
      <c r="AX67" s="658" t="str">
        <f>CountryCode &amp; ".T2.B9.S1311.MNAC." &amp; RefVintage</f>
        <v>HU.T2.B9.S1311.MNAC.S.2021</v>
      </c>
    </row>
    <row r="68" spans="1:50" ht="16.2" thickTop="1">
      <c r="A68" s="292"/>
      <c r="B68" s="338"/>
      <c r="C68" s="375" t="s">
        <v>471</v>
      </c>
      <c r="D68" s="20"/>
      <c r="E68" s="20"/>
      <c r="F68" s="20"/>
      <c r="G68" s="30"/>
      <c r="H68" s="226"/>
      <c r="I68" s="20"/>
      <c r="J68" s="52"/>
      <c r="K68" s="13"/>
    </row>
    <row r="69" spans="1:50" ht="9" customHeight="1">
      <c r="A69" s="292"/>
      <c r="B69" s="338"/>
      <c r="C69" s="181"/>
      <c r="D69" s="20"/>
      <c r="E69" s="20"/>
      <c r="F69" s="20"/>
      <c r="G69" s="20"/>
      <c r="H69" s="226"/>
      <c r="I69" s="20"/>
      <c r="J69" s="52"/>
      <c r="K69" s="13"/>
    </row>
    <row r="70" spans="1:50" s="23" customFormat="1" ht="15.6">
      <c r="A70" s="292"/>
      <c r="B70" s="338"/>
      <c r="C70" s="376" t="s">
        <v>90</v>
      </c>
      <c r="D70" s="377"/>
      <c r="E70" s="268"/>
      <c r="F70" s="20"/>
      <c r="G70" s="20"/>
      <c r="H70" s="226"/>
      <c r="I70" s="20"/>
      <c r="J70" s="52"/>
      <c r="K70" s="13"/>
      <c r="AX70" s="658"/>
    </row>
    <row r="71" spans="1:50" ht="24.6">
      <c r="A71" s="292"/>
      <c r="B71" s="338"/>
      <c r="C71" s="272" t="s">
        <v>93</v>
      </c>
      <c r="D71" s="268"/>
      <c r="E71" s="268"/>
      <c r="F71" s="20"/>
      <c r="G71" s="171"/>
      <c r="H71" s="226"/>
      <c r="I71" s="20"/>
      <c r="J71" s="52"/>
      <c r="K71" s="13"/>
    </row>
    <row r="72" spans="1:50" ht="12" customHeight="1" thickBot="1">
      <c r="A72" s="182"/>
      <c r="B72" s="254"/>
      <c r="C72" s="183"/>
      <c r="D72" s="53"/>
      <c r="E72" s="53"/>
      <c r="F72" s="53"/>
      <c r="G72" s="53"/>
      <c r="H72" s="227"/>
      <c r="I72" s="53"/>
      <c r="J72" s="54"/>
      <c r="L72" s="13"/>
    </row>
    <row r="73" spans="1:50" ht="16.2" thickTop="1">
      <c r="D73" s="55"/>
    </row>
    <row r="74" spans="1:50">
      <c r="C74" s="56"/>
    </row>
    <row r="75" spans="1:50">
      <c r="C75" s="239" t="s">
        <v>122</v>
      </c>
      <c r="D75" s="692" t="str">
        <f>IF(COUNTA(D8:H8,D11:H18,D22:H22,D26:H26,D28:H28,D38:H38,D50:H51,D55:H55,D67:H67)/85*100=100,"OK - Table 2A is fully completed","WARNING - Table 2A is not fully completed, please fill in figure, L, M or 0")</f>
        <v>OK - Table 2A is fully completed</v>
      </c>
      <c r="E75" s="692"/>
      <c r="F75" s="692"/>
      <c r="G75" s="692"/>
      <c r="H75" s="692"/>
      <c r="I75" s="378"/>
      <c r="J75" s="241"/>
    </row>
    <row r="76" spans="1:50">
      <c r="C76" s="242" t="s">
        <v>123</v>
      </c>
      <c r="D76" s="243"/>
      <c r="E76" s="243"/>
      <c r="F76" s="243"/>
      <c r="G76" s="243"/>
      <c r="H76" s="379"/>
      <c r="I76" s="243"/>
      <c r="J76" s="244"/>
    </row>
    <row r="77" spans="1:50" ht="25.5" customHeight="1">
      <c r="C77" s="380" t="s">
        <v>537</v>
      </c>
      <c r="D77" s="381">
        <f>IF(D67="M",0,D67)-IF(D8="M",0,D8)-IF(D11="M",0,D11)-IF(D22="M",0,D22)-IF(D26="M",0,D26)-IF(D28="M",0,D28)-IF(D38="M",0,D38)-IF(D50="M",0,D50)-IF(D51="M",0,D51)-IF(D55="M",0,D55)</f>
        <v>-2.3283064365386963E-10</v>
      </c>
      <c r="E77" s="381">
        <f>IF(E67="M",0,E67)-IF(E8="M",0,E8)-IF(E11="M",0,E11)-IF(E22="M",0,E22)-IF(E26="M",0,E26)-IF(E28="M",0,E28)-IF(E38="M",0,E38)-IF(E50="M",0,E50)-IF(E51="M",0,E51)-IF(E55="M",0,E55)</f>
        <v>0</v>
      </c>
      <c r="F77" s="381">
        <f>IF(F67="M",0,F67)-IF(F8="M",0,F8)-IF(F11="M",0,F11)-IF(F22="M",0,F22)-IF(F26="M",0,F26)-IF(F28="M",0,F28)-IF(F38="M",0,F38)-IF(F50="M",0,F50)-IF(F51="M",0,F51)-IF(F55="M",0,F55)</f>
        <v>0</v>
      </c>
      <c r="G77" s="381">
        <f>IF(G67="M",0,G67)-IF(G8="M",0,G8)-IF(G11="M",0,G11)-IF(G22="M",0,G22)-IF(G26="M",0,G26)-IF(G28="M",0,G28)-IF(G38="M",0,G38)-IF(G50="M",0,G50)-IF(G51="M",0,G51)-IF(G55="M",0,G55)</f>
        <v>6.9849193096160889E-10</v>
      </c>
      <c r="H77" s="382">
        <f>IF(H67="M",0,H67)-IF(H8="M",0,H8)-IF(H11="M",0,H11)-IF(H22="M",0,H22)-IF(H26="M",0,H26)-IF(H28="M",0,H28)-IF(H38="M",0,H38)-IF(H50="M",0,H50)-IF(H51="M",0,H51)-IF(H55="M",0,H55)</f>
        <v>-3.4924596548080444E-10</v>
      </c>
      <c r="I77" s="243"/>
      <c r="J77" s="244"/>
    </row>
    <row r="78" spans="1:50" ht="15.6">
      <c r="C78" s="380" t="s">
        <v>127</v>
      </c>
      <c r="D78" s="381">
        <f>IF(D11="M",0,D11)-IF(D12="M",0,D12)-IF(D13="M",0,D13)-IF(D14="M",0,D14)-IF(D15="M",0,D15)-IF(D16="M",0,D16)</f>
        <v>0</v>
      </c>
      <c r="E78" s="381">
        <f>IF(E11="M",0,E11)-IF(E12="M",0,E12)-IF(E13="M",0,E13)-IF(E14="M",0,E14)-IF(E15="M",0,E15)-IF(E16="M",0,E16)</f>
        <v>0</v>
      </c>
      <c r="F78" s="381">
        <f>IF(F11="M",0,F11)-IF(F12="M",0,F12)-IF(F13="M",0,F13)-IF(F14="M",0,F14)-IF(F15="M",0,F15)-IF(F16="M",0,F16)</f>
        <v>0</v>
      </c>
      <c r="G78" s="381">
        <f>IF(G11="M",0,G11)-IF(G12="M",0,G12)-IF(G13="M",0,G13)-IF(G14="M",0,G14)-IF(G15="M",0,G15)-IF(G16="M",0,G16)</f>
        <v>0</v>
      </c>
      <c r="H78" s="382">
        <f>IF(H11="M",0,H11)-IF(H12="M",0,H12)-IF(H13="M",0,H13)-IF(H14="M",0,H14)-IF(H15="M",0,H15)-IF(H16="M",0,H16)</f>
        <v>0</v>
      </c>
      <c r="I78" s="243"/>
      <c r="J78" s="244"/>
    </row>
    <row r="79" spans="1:50" ht="15.6">
      <c r="C79" s="380" t="s">
        <v>128</v>
      </c>
      <c r="D79" s="381">
        <f>D55-SUM(D56:D66)</f>
        <v>0</v>
      </c>
      <c r="E79" s="381">
        <f>E55-SUM(E56:E66)</f>
        <v>0</v>
      </c>
      <c r="F79" s="381">
        <f>F55-SUM(F56:F66)</f>
        <v>0</v>
      </c>
      <c r="G79" s="381">
        <f>G55-SUM(G56:G66)</f>
        <v>0</v>
      </c>
      <c r="H79" s="382">
        <f>H55-SUM(H56:H66)</f>
        <v>0</v>
      </c>
      <c r="I79" s="243"/>
      <c r="J79" s="244"/>
    </row>
    <row r="80" spans="1:50" ht="15.6">
      <c r="A80" s="24"/>
      <c r="C80" s="383" t="s">
        <v>129</v>
      </c>
      <c r="D80" s="246"/>
      <c r="E80" s="246"/>
      <c r="F80" s="246"/>
      <c r="G80" s="246"/>
      <c r="H80" s="384"/>
      <c r="I80" s="243"/>
      <c r="J80" s="244"/>
    </row>
    <row r="81" spans="1:10" ht="15.6">
      <c r="A81" s="24"/>
      <c r="C81" s="385" t="s">
        <v>130</v>
      </c>
      <c r="D81" s="249">
        <f>IF('Table 1'!E11="M",0,'Table 1'!E11)-IF('Table 2A'!D67="M",0,'Table 2A'!D67)</f>
        <v>0</v>
      </c>
      <c r="E81" s="249">
        <f>IF('Table 1'!F11="M",0,'Table 1'!F11)-IF('Table 2A'!E67="M",0,'Table 2A'!E67)</f>
        <v>0</v>
      </c>
      <c r="F81" s="249">
        <f>IF('Table 1'!G11="M",0,'Table 1'!G11)-IF('Table 2A'!F67="M",0,'Table 2A'!F67)</f>
        <v>0</v>
      </c>
      <c r="G81" s="249">
        <f>IF('Table 1'!H11="M",0,'Table 1'!H11)-IF('Table 2A'!G67="M",0,'Table 2A'!G67)</f>
        <v>0</v>
      </c>
      <c r="H81" s="386">
        <f>IF('Table 1'!I11="M",0,'Table 1'!I11)-IF('Table 2A'!H67="M",0,'Table 2A'!H67)</f>
        <v>0</v>
      </c>
      <c r="I81" s="387"/>
      <c r="J81" s="388"/>
    </row>
    <row r="82" spans="1:10">
      <c r="A82" s="24"/>
    </row>
    <row r="83" spans="1:10">
      <c r="A83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5:H75"/>
  </mergeCells>
  <phoneticPr fontId="36" type="noConversion"/>
  <conditionalFormatting sqref="D75:H75">
    <cfRule type="expression" dxfId="27" priority="36" stopIfTrue="1">
      <formula>COUNTA(D8:H8,D11:H18,D22:H22,D26:H26,D28:H28,D38:H38,D50:H51,D55:H55,D67:H67)/85*100&lt;&gt;100</formula>
    </cfRule>
  </conditionalFormatting>
  <conditionalFormatting sqref="D8:H8 D11:H18 D22:H22 D26:H26 D28:H28 D38:H38 D50:H51 D55:H55 D67:H67">
    <cfRule type="cellIs" dxfId="2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6" colorId="22" zoomScale="80" zoomScaleNormal="80" zoomScaleSheetLayoutView="80" workbookViewId="0">
      <selection activeCell="G33" sqref="G33"/>
    </sheetView>
  </sheetViews>
  <sheetFormatPr defaultColWidth="9.81640625" defaultRowHeight="15"/>
  <cols>
    <col min="1" max="1" width="34.81640625" style="20" hidden="1" customWidth="1"/>
    <col min="2" max="2" width="41" style="20" bestFit="1" customWidth="1"/>
    <col min="3" max="3" width="63.453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1.632812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172" t="s">
        <v>793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1229</v>
      </c>
    </row>
    <row r="3" spans="1:50" ht="16.2" thickTop="1">
      <c r="A3" s="336"/>
      <c r="B3" s="397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45"/>
      <c r="L4" s="267" t="s">
        <v>455</v>
      </c>
      <c r="M4" s="333"/>
      <c r="O4" s="13"/>
    </row>
    <row r="5" spans="1:50" ht="15.6">
      <c r="A5" s="282"/>
      <c r="B5" s="398" t="s">
        <v>485</v>
      </c>
      <c r="C5" s="405" t="s">
        <v>70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58"/>
      <c r="J5" s="45"/>
      <c r="O5" s="13"/>
    </row>
    <row r="6" spans="1:50" ht="15.6">
      <c r="A6" s="282"/>
      <c r="B6" s="338"/>
      <c r="C6" s="286" t="str">
        <f>'Cover page'!E14</f>
        <v>Date: 11/10/2021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6.8" thickTop="1" thickBot="1">
      <c r="A8" s="340" t="s">
        <v>222</v>
      </c>
      <c r="B8" s="490" t="s">
        <v>927</v>
      </c>
      <c r="C8" s="368" t="s">
        <v>50</v>
      </c>
      <c r="D8" s="89" t="s">
        <v>1232</v>
      </c>
      <c r="E8" s="90" t="s">
        <v>1232</v>
      </c>
      <c r="F8" s="90" t="s">
        <v>1232</v>
      </c>
      <c r="G8" s="90" t="s">
        <v>1232</v>
      </c>
      <c r="H8" s="90" t="s">
        <v>1232</v>
      </c>
      <c r="I8" s="11"/>
      <c r="J8" s="51"/>
      <c r="O8" s="13"/>
      <c r="AX8" s="658" t="str">
        <f>CountryCode &amp; ".T2.WB.S1312.MNAC." &amp; RefVintage</f>
        <v>HU.T2.WB.S1312.MNAC.S.2021</v>
      </c>
    </row>
    <row r="9" spans="1:50" ht="16.2" thickTop="1">
      <c r="A9" s="340"/>
      <c r="B9" s="593"/>
      <c r="C9" s="369" t="s">
        <v>83</v>
      </c>
      <c r="D9" s="158" t="s">
        <v>1232</v>
      </c>
      <c r="E9" s="158" t="s">
        <v>1232</v>
      </c>
      <c r="F9" s="158" t="s">
        <v>1232</v>
      </c>
      <c r="G9" s="158" t="s">
        <v>1232</v>
      </c>
      <c r="H9" s="158" t="s">
        <v>1232</v>
      </c>
      <c r="I9" s="149"/>
      <c r="J9" s="52"/>
      <c r="O9" s="13"/>
    </row>
    <row r="10" spans="1:50" ht="11.25" customHeight="1">
      <c r="A10" s="340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HU.T2.WB_STATUS.S1312.MNAC.S.2021</v>
      </c>
    </row>
    <row r="11" spans="1:50" ht="15.6">
      <c r="A11" s="340" t="s">
        <v>223</v>
      </c>
      <c r="B11" s="490" t="s">
        <v>928</v>
      </c>
      <c r="C11" s="370" t="s">
        <v>92</v>
      </c>
      <c r="D11" s="136" t="s">
        <v>1232</v>
      </c>
      <c r="E11" s="136" t="s">
        <v>1232</v>
      </c>
      <c r="F11" s="136" t="s">
        <v>1232</v>
      </c>
      <c r="G11" s="136" t="s">
        <v>1232</v>
      </c>
      <c r="H11" s="136" t="s">
        <v>1232</v>
      </c>
      <c r="I11" s="137"/>
      <c r="J11" s="52"/>
      <c r="O11" s="13"/>
      <c r="AX11" s="658" t="str">
        <f>CountryCode &amp; ".T2.FT.S1312.MNAC." &amp; RefVintage</f>
        <v>HU.T2.FT.S1312.MNAC.S.2021</v>
      </c>
    </row>
    <row r="12" spans="1:50" ht="15.6">
      <c r="A12" s="340" t="s">
        <v>224</v>
      </c>
      <c r="B12" s="490" t="s">
        <v>929</v>
      </c>
      <c r="C12" s="371" t="s">
        <v>53</v>
      </c>
      <c r="D12" s="136" t="s">
        <v>1232</v>
      </c>
      <c r="E12" s="136" t="s">
        <v>1232</v>
      </c>
      <c r="F12" s="136" t="s">
        <v>1232</v>
      </c>
      <c r="G12" s="136" t="s">
        <v>1232</v>
      </c>
      <c r="H12" s="136" t="s">
        <v>1232</v>
      </c>
      <c r="I12" s="137"/>
      <c r="J12" s="52"/>
      <c r="O12" s="13"/>
      <c r="AX12" s="658" t="str">
        <f>CountryCode &amp; ".T2.F4.S1312.MNAC." &amp; RefVintage</f>
        <v>HU.T2.F4.S1312.MNAC.S.2021</v>
      </c>
    </row>
    <row r="13" spans="1:50" ht="15.6">
      <c r="A13" s="340" t="s">
        <v>225</v>
      </c>
      <c r="B13" s="490" t="s">
        <v>930</v>
      </c>
      <c r="C13" s="372" t="s">
        <v>54</v>
      </c>
      <c r="D13" s="136" t="s">
        <v>1232</v>
      </c>
      <c r="E13" s="136" t="s">
        <v>1232</v>
      </c>
      <c r="F13" s="136" t="s">
        <v>1232</v>
      </c>
      <c r="G13" s="136" t="s">
        <v>1232</v>
      </c>
      <c r="H13" s="136" t="s">
        <v>1232</v>
      </c>
      <c r="I13" s="137"/>
      <c r="J13" s="52"/>
      <c r="O13" s="13"/>
      <c r="AX13" s="658" t="str">
        <f>CountryCode &amp; ".T2.F5.S1312.MNAC." &amp; RefVintage</f>
        <v>HU.T2.F5.S1312.MNAC.S.2021</v>
      </c>
    </row>
    <row r="14" spans="1:50" ht="15.6">
      <c r="A14" s="340" t="s">
        <v>226</v>
      </c>
      <c r="B14" s="490" t="s">
        <v>931</v>
      </c>
      <c r="C14" s="372" t="s">
        <v>35</v>
      </c>
      <c r="D14" s="136" t="s">
        <v>1232</v>
      </c>
      <c r="E14" s="136" t="s">
        <v>1232</v>
      </c>
      <c r="F14" s="136" t="s">
        <v>1232</v>
      </c>
      <c r="G14" s="136" t="s">
        <v>1232</v>
      </c>
      <c r="H14" s="136" t="s">
        <v>1232</v>
      </c>
      <c r="I14" s="137"/>
      <c r="J14" s="52"/>
      <c r="O14" s="13"/>
      <c r="AX14" s="658" t="str">
        <f>CountryCode &amp; ".T2.OFT.S1312.MNAC." &amp; RefVintage</f>
        <v>HU.T2.OFT.S1312.MNAC.S.2021</v>
      </c>
    </row>
    <row r="15" spans="1:50" ht="16.2" thickBot="1">
      <c r="A15" s="340" t="s">
        <v>227</v>
      </c>
      <c r="B15" s="490" t="s">
        <v>932</v>
      </c>
      <c r="C15" s="373" t="s">
        <v>512</v>
      </c>
      <c r="D15" s="136" t="s">
        <v>1232</v>
      </c>
      <c r="E15" s="136" t="s">
        <v>1232</v>
      </c>
      <c r="F15" s="136" t="s">
        <v>1232</v>
      </c>
      <c r="G15" s="136" t="s">
        <v>1232</v>
      </c>
      <c r="H15" s="136" t="s">
        <v>1232</v>
      </c>
      <c r="I15" s="137"/>
      <c r="J15" s="52"/>
      <c r="O15" s="13"/>
      <c r="AX15" s="658" t="str">
        <f>CountryCode &amp; ".T2.OFTDL.S1312.MNAC." &amp; RefVintage</f>
        <v>HU.T2.OFTDL.S1312.MNAC.S.2021</v>
      </c>
    </row>
    <row r="16" spans="1:50" ht="16.2" thickBot="1">
      <c r="A16" s="341" t="s">
        <v>487</v>
      </c>
      <c r="B16" s="490" t="s">
        <v>933</v>
      </c>
      <c r="C16" s="265" t="s">
        <v>513</v>
      </c>
      <c r="D16" s="136" t="s">
        <v>1232</v>
      </c>
      <c r="E16" s="136" t="s">
        <v>1232</v>
      </c>
      <c r="F16" s="136" t="s">
        <v>1232</v>
      </c>
      <c r="G16" s="136" t="s">
        <v>1232</v>
      </c>
      <c r="H16" s="136" t="s">
        <v>1232</v>
      </c>
      <c r="I16" s="137"/>
      <c r="J16" s="52"/>
      <c r="O16" s="13"/>
      <c r="AX16" s="658" t="str">
        <f>CountryCode &amp; ".T2.F71K.S1312.MNAC." &amp; RefVintage</f>
        <v>HU.T2.F71K.S1312.MNAC.S.2021</v>
      </c>
    </row>
    <row r="17" spans="1:50" ht="15.6">
      <c r="A17" s="176" t="s">
        <v>228</v>
      </c>
      <c r="B17" s="490" t="s">
        <v>934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".T2.OFT1.S1312.MNAC." &amp; RefVintage</f>
        <v>HU.T2.OFT1.S1312.MNAC.S.2021</v>
      </c>
    </row>
    <row r="18" spans="1:50" ht="15.6">
      <c r="A18" s="176" t="s">
        <v>229</v>
      </c>
      <c r="B18" s="490" t="s">
        <v>935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".T2.OFT2.S1312.MNAC." &amp; RefVintage</f>
        <v>HU.T2.OFT2.S1312.MNAC.S.2021</v>
      </c>
    </row>
    <row r="19" spans="1:50" ht="15.6">
      <c r="A19" s="340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230</v>
      </c>
      <c r="B20" s="490" t="s">
        <v>954</v>
      </c>
      <c r="C20" s="370" t="s">
        <v>121</v>
      </c>
      <c r="D20" s="150" t="s">
        <v>1232</v>
      </c>
      <c r="E20" s="150" t="s">
        <v>1232</v>
      </c>
      <c r="F20" s="150" t="s">
        <v>1232</v>
      </c>
      <c r="G20" s="150" t="s">
        <v>1232</v>
      </c>
      <c r="H20" s="150" t="s">
        <v>1232</v>
      </c>
      <c r="I20" s="137"/>
      <c r="J20" s="52"/>
      <c r="O20" s="13"/>
      <c r="AX20" s="658" t="str">
        <f>CountryCode &amp; ".T2.ONFT.S1312.MNAC." &amp; RefVintage</f>
        <v>HU.T2.ONFT.S1312.MNAC.S.2021</v>
      </c>
    </row>
    <row r="21" spans="1:50" ht="15.6">
      <c r="A21" s="176" t="s">
        <v>231</v>
      </c>
      <c r="B21" s="490" t="s">
        <v>955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".T2.ONFT1.S1312.MNAC." &amp; RefVintage</f>
        <v>HU.T2.ONFT1.S1312.MNAC.S.2021</v>
      </c>
    </row>
    <row r="22" spans="1:50" ht="15.6">
      <c r="A22" s="176" t="s">
        <v>232</v>
      </c>
      <c r="B22" s="490" t="s">
        <v>956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".T2.ONFT2.S1312.MNAC." &amp; RefVintage</f>
        <v>HU.T2.ONFT2.S1312.MNAC.S.2021</v>
      </c>
    </row>
    <row r="23" spans="1:50" ht="15.6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233</v>
      </c>
      <c r="B24" s="490" t="s">
        <v>963</v>
      </c>
      <c r="C24" s="263" t="s">
        <v>470</v>
      </c>
      <c r="D24" s="150" t="s">
        <v>1232</v>
      </c>
      <c r="E24" s="150" t="s">
        <v>1232</v>
      </c>
      <c r="F24" s="150" t="s">
        <v>1232</v>
      </c>
      <c r="G24" s="150" t="s">
        <v>1232</v>
      </c>
      <c r="H24" s="150" t="s">
        <v>1232</v>
      </c>
      <c r="I24" s="137"/>
      <c r="J24" s="52"/>
      <c r="O24" s="13"/>
      <c r="AX24" s="658" t="str">
        <f>CountryCode &amp; ".T2.D41DIF.S1312.MNAC." &amp; RefVintage</f>
        <v>HU.T2.D41DIF.S1312.MNAC.S.2021</v>
      </c>
    </row>
    <row r="25" spans="1:50" ht="15.6">
      <c r="A25" s="340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538</v>
      </c>
      <c r="B26" s="490" t="s">
        <v>966</v>
      </c>
      <c r="C26" s="370" t="s">
        <v>48</v>
      </c>
      <c r="D26" s="150" t="s">
        <v>1232</v>
      </c>
      <c r="E26" s="150" t="s">
        <v>1232</v>
      </c>
      <c r="F26" s="150" t="s">
        <v>1232</v>
      </c>
      <c r="G26" s="150" t="s">
        <v>1232</v>
      </c>
      <c r="H26" s="150" t="s">
        <v>1232</v>
      </c>
      <c r="I26" s="137"/>
      <c r="J26" s="52"/>
      <c r="O26" s="13"/>
      <c r="AX26" s="658" t="str">
        <f>CountryCode &amp; ".T2.F8ASS.S1312.MNAC." &amp; RefVintage</f>
        <v>HU.T2.F8ASS.S1312.MNAC.S.2021</v>
      </c>
    </row>
    <row r="27" spans="1:50" ht="15.6">
      <c r="A27" s="176" t="s">
        <v>539</v>
      </c>
      <c r="B27" s="490" t="s">
        <v>967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8" t="str">
        <f>CountryCode &amp; ".T2.F8ASS1.S1312.MNAC." &amp; RefVintage</f>
        <v>HU.T2.F8ASS1.S1312.MNAC.S.2021</v>
      </c>
    </row>
    <row r="28" spans="1:50" ht="15.6">
      <c r="A28" s="176" t="s">
        <v>540</v>
      </c>
      <c r="B28" s="490" t="s">
        <v>968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8" t="str">
        <f>CountryCode &amp; ".T2.F8ASS2.S1312.MNAC." &amp; RefVintage</f>
        <v>HU.T2.F8ASS2.S1312.MNAC.S.2021</v>
      </c>
    </row>
    <row r="29" spans="1:50" ht="15.6">
      <c r="A29" s="340" t="s">
        <v>541</v>
      </c>
      <c r="B29" s="490" t="s">
        <v>975</v>
      </c>
      <c r="C29" s="370" t="s">
        <v>47</v>
      </c>
      <c r="D29" s="150" t="s">
        <v>1232</v>
      </c>
      <c r="E29" s="150" t="s">
        <v>1232</v>
      </c>
      <c r="F29" s="150" t="s">
        <v>1232</v>
      </c>
      <c r="G29" s="150" t="s">
        <v>1232</v>
      </c>
      <c r="H29" s="150" t="s">
        <v>1232</v>
      </c>
      <c r="I29" s="137"/>
      <c r="J29" s="52"/>
      <c r="O29" s="13"/>
      <c r="AX29" s="658" t="str">
        <f>CountryCode &amp; ".T2.F8LIA.S1312.MNAC." &amp; RefVintage</f>
        <v>HU.T2.F8LIA.S1312.MNAC.S.2021</v>
      </c>
    </row>
    <row r="30" spans="1:50" ht="15.6">
      <c r="A30" s="176" t="s">
        <v>542</v>
      </c>
      <c r="B30" s="490" t="s">
        <v>976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8" t="str">
        <f>CountryCode &amp; ".T2.F8LIA1.S1312.MNAC." &amp; RefVintage</f>
        <v>HU.T2.F8LIA1.S1312.MNAC.S.2021</v>
      </c>
    </row>
    <row r="31" spans="1:50" ht="15.6">
      <c r="A31" s="176" t="s">
        <v>543</v>
      </c>
      <c r="B31" s="490" t="s">
        <v>977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8" t="str">
        <f>CountryCode &amp; ".T2.F8LIA2.S1312.MNAC." &amp; RefVintage</f>
        <v>HU.T2.F8LIA2.S1312.MNAC.S.2021</v>
      </c>
    </row>
    <row r="32" spans="1:50" ht="15.6">
      <c r="A32" s="340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 ht="15.6">
      <c r="A33" s="340" t="s">
        <v>234</v>
      </c>
      <c r="B33" s="490" t="s">
        <v>984</v>
      </c>
      <c r="C33" s="370" t="s">
        <v>77</v>
      </c>
      <c r="D33" s="150" t="s">
        <v>1232</v>
      </c>
      <c r="E33" s="150" t="s">
        <v>1232</v>
      </c>
      <c r="F33" s="150" t="s">
        <v>1232</v>
      </c>
      <c r="G33" s="150" t="s">
        <v>1232</v>
      </c>
      <c r="H33" s="150" t="s">
        <v>1232</v>
      </c>
      <c r="I33" s="137"/>
      <c r="J33" s="52"/>
      <c r="O33" s="13"/>
      <c r="AX33" s="658" t="str">
        <f>CountryCode &amp; ".T2.B9_OWB.S1312.MNAC." &amp; RefVintage</f>
        <v>HU.T2.B9_OWB.S1312.MNAC.S.2021</v>
      </c>
    </row>
    <row r="34" spans="1:50" ht="15.6">
      <c r="A34" s="340" t="s">
        <v>235</v>
      </c>
      <c r="B34" s="490" t="s">
        <v>985</v>
      </c>
      <c r="C34" s="370" t="s">
        <v>786</v>
      </c>
      <c r="D34" s="150" t="s">
        <v>1232</v>
      </c>
      <c r="E34" s="150" t="s">
        <v>1232</v>
      </c>
      <c r="F34" s="150" t="s">
        <v>1232</v>
      </c>
      <c r="G34" s="150" t="s">
        <v>1232</v>
      </c>
      <c r="H34" s="150" t="s">
        <v>1232</v>
      </c>
      <c r="I34" s="137"/>
      <c r="J34" s="52"/>
      <c r="O34" s="13"/>
      <c r="AX34" s="658" t="str">
        <f>CountryCode &amp; ".T2.B9_OB.S1312.MNAC." &amp; RefVintage</f>
        <v>HU.T2.B9_OB.S1312.MNAC.S.2021</v>
      </c>
    </row>
    <row r="35" spans="1:50" ht="15.6">
      <c r="A35" s="176" t="s">
        <v>236</v>
      </c>
      <c r="B35" s="490" t="s">
        <v>986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8" t="str">
        <f>CountryCode &amp; ".T2.B9_OB1.S1312.MNAC." &amp; RefVintage</f>
        <v>HU.T2.B9_OB1.S1312.MNAC.S.2021</v>
      </c>
    </row>
    <row r="36" spans="1:50" ht="15.6">
      <c r="A36" s="176" t="s">
        <v>237</v>
      </c>
      <c r="B36" s="490" t="s">
        <v>987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8" t="str">
        <f>CountryCode &amp; ".T2.B9_OB2.S1312.MNAC." &amp; RefVintage</f>
        <v>HU.T2.B9_OB2.S1312.MNAC.S.2021</v>
      </c>
    </row>
    <row r="37" spans="1:50" ht="15.6">
      <c r="A37" s="340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 ht="15.6">
      <c r="A38" s="340" t="s">
        <v>238</v>
      </c>
      <c r="B38" s="490" t="s">
        <v>996</v>
      </c>
      <c r="C38" s="370" t="s">
        <v>49</v>
      </c>
      <c r="D38" s="150" t="s">
        <v>1232</v>
      </c>
      <c r="E38" s="150" t="s">
        <v>1232</v>
      </c>
      <c r="F38" s="150" t="s">
        <v>1232</v>
      </c>
      <c r="G38" s="150" t="s">
        <v>1232</v>
      </c>
      <c r="H38" s="150" t="s">
        <v>1232</v>
      </c>
      <c r="I38" s="137"/>
      <c r="J38" s="52"/>
      <c r="O38" s="13"/>
      <c r="AX38" s="658" t="str">
        <f>CountryCode &amp; ".T2.OA.S1312.MNAC." &amp; RefVintage</f>
        <v>HU.T2.OA.S1312.MNAC.S.2021</v>
      </c>
    </row>
    <row r="39" spans="1:50" ht="15.6">
      <c r="A39" s="176" t="s">
        <v>239</v>
      </c>
      <c r="B39" s="490" t="s">
        <v>997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8" t="str">
        <f>CountryCode &amp; ".T2.OA1.S1312.MNAC." &amp; RefVintage</f>
        <v>HU.T2.OA1.S1312.MNAC.S.2021</v>
      </c>
    </row>
    <row r="40" spans="1:50" ht="15.6">
      <c r="A40" s="176" t="s">
        <v>240</v>
      </c>
      <c r="B40" s="490" t="s">
        <v>998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8" t="str">
        <f>CountryCode &amp; ".T2.OA2.S1312.MNAC." &amp; RefVintage</f>
        <v>HU.T2.OA2.S1312.MNAC.S.2021</v>
      </c>
    </row>
    <row r="41" spans="1:50" ht="15.6">
      <c r="A41" s="176" t="s">
        <v>241</v>
      </c>
      <c r="B41" s="490" t="s">
        <v>999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8" t="str">
        <f>CountryCode &amp; ".T2.OA3.S1312.MNAC." &amp; RefVintage</f>
        <v>HU.T2.OA3.S1312.MNAC.S.2021</v>
      </c>
    </row>
    <row r="42" spans="1:50" ht="16.2" thickBot="1">
      <c r="A42" s="340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6.8" thickTop="1" thickBot="1">
      <c r="A43" s="340" t="s">
        <v>242</v>
      </c>
      <c r="B43" s="490" t="s">
        <v>1008</v>
      </c>
      <c r="C43" s="374" t="s">
        <v>771</v>
      </c>
      <c r="D43" s="91" t="s">
        <v>1232</v>
      </c>
      <c r="E43" s="91" t="s">
        <v>1232</v>
      </c>
      <c r="F43" s="91" t="s">
        <v>1232</v>
      </c>
      <c r="G43" s="91" t="s">
        <v>1232</v>
      </c>
      <c r="H43" s="91" t="s">
        <v>1232</v>
      </c>
      <c r="I43" s="4"/>
      <c r="J43" s="51"/>
      <c r="O43" s="13"/>
      <c r="AX43" s="658" t="str">
        <f>CountryCode &amp; ".T2.B9.S1312.MNAC." &amp; RefVintage</f>
        <v>HU.T2.B9.S1312.MNAC.S.2021</v>
      </c>
    </row>
    <row r="44" spans="1:50" ht="16.2" thickTop="1">
      <c r="A44" s="169"/>
      <c r="B44" s="167"/>
      <c r="C44" s="375" t="s">
        <v>471</v>
      </c>
      <c r="D44" s="413"/>
      <c r="E44" s="411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30"/>
      <c r="I45" s="26"/>
      <c r="J45" s="52"/>
      <c r="K45" s="13"/>
    </row>
    <row r="46" spans="1:50" s="23" customFormat="1" ht="15.6">
      <c r="A46" s="169"/>
      <c r="B46" s="167"/>
      <c r="C46" s="376" t="s">
        <v>90</v>
      </c>
      <c r="D46" s="245"/>
      <c r="E46" s="411"/>
      <c r="F46" s="26"/>
      <c r="G46" s="26"/>
      <c r="H46" s="230"/>
      <c r="I46" s="26"/>
      <c r="J46" s="52"/>
      <c r="K46" s="13"/>
      <c r="AX46" s="658"/>
    </row>
    <row r="47" spans="1:50" ht="24.6">
      <c r="A47" s="169"/>
      <c r="B47" s="167"/>
      <c r="C47" s="272" t="s">
        <v>93</v>
      </c>
      <c r="D47" s="245"/>
      <c r="E47" s="411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7"/>
      <c r="I48" s="53"/>
      <c r="J48" s="54"/>
      <c r="L48" s="13"/>
    </row>
    <row r="49" spans="3:10" ht="15.6" thickTop="1"/>
    <row r="50" spans="3:10">
      <c r="C50" s="25" t="s">
        <v>36</v>
      </c>
    </row>
    <row r="51" spans="3:10" ht="30" customHeight="1">
      <c r="C51" s="396" t="s">
        <v>122</v>
      </c>
      <c r="D51" s="693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3"/>
      <c r="F51" s="693"/>
      <c r="G51" s="693"/>
      <c r="H51" s="390"/>
      <c r="I51" s="378"/>
      <c r="J51" s="241"/>
    </row>
    <row r="52" spans="3:10" ht="15.6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1.6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 ht="15.6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 ht="15.6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 ht="15.6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 ht="15.6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5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4" priority="3" operator="equal">
      <formula>""</formula>
    </cfRule>
  </conditionalFormatting>
  <conditionalFormatting sqref="H11:H16 H20 H24 H26 H29 H33:H34 H38 H43">
    <cfRule type="cellIs" dxfId="23" priority="1" operator="equal">
      <formula>""</formula>
    </cfRule>
  </conditionalFormatting>
  <conditionalFormatting sqref="H8">
    <cfRule type="cellIs" dxfId="22" priority="2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19" colorId="22" zoomScaleNormal="100" zoomScaleSheetLayoutView="80" workbookViewId="0">
      <selection activeCell="H9" sqref="H9"/>
    </sheetView>
  </sheetViews>
  <sheetFormatPr defaultColWidth="9.81640625" defaultRowHeight="15"/>
  <cols>
    <col min="1" max="1" width="11.54296875" style="20" hidden="1" customWidth="1"/>
    <col min="2" max="2" width="41" style="20" bestFit="1" customWidth="1"/>
    <col min="3" max="3" width="63.6328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794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79" t="s">
        <v>1229</v>
      </c>
    </row>
    <row r="3" spans="1:50" ht="16.2" thickTop="1">
      <c r="A3" s="336"/>
      <c r="B3" s="397"/>
      <c r="C3" s="347"/>
      <c r="D3" s="348"/>
      <c r="E3" s="349"/>
      <c r="F3" s="349"/>
      <c r="G3" s="349"/>
      <c r="H3" s="350"/>
      <c r="I3" s="349"/>
      <c r="J3" s="401"/>
      <c r="K3" s="13"/>
      <c r="L3" s="267" t="s">
        <v>454</v>
      </c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403"/>
      <c r="J4" s="404"/>
      <c r="L4" s="267" t="s">
        <v>455</v>
      </c>
      <c r="O4" s="13"/>
    </row>
    <row r="5" spans="1:50" ht="15.6">
      <c r="A5" s="282" t="s">
        <v>126</v>
      </c>
      <c r="B5" s="398" t="s">
        <v>485</v>
      </c>
      <c r="C5" s="22" t="s">
        <v>1231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406"/>
      <c r="J5" s="404"/>
      <c r="O5" s="13"/>
    </row>
    <row r="6" spans="1:50" ht="15.6">
      <c r="A6" s="282"/>
      <c r="B6" s="338"/>
      <c r="C6" s="286" t="str">
        <f>'Cover page'!E14</f>
        <v>Date: 11/10/2021</v>
      </c>
      <c r="D6" s="356"/>
      <c r="E6" s="356"/>
      <c r="F6" s="356"/>
      <c r="G6" s="357"/>
      <c r="H6" s="358"/>
      <c r="I6" s="407"/>
      <c r="J6" s="404"/>
      <c r="O6" s="13"/>
    </row>
    <row r="7" spans="1:50" ht="10.5" customHeight="1" thickBot="1">
      <c r="A7" s="282"/>
      <c r="B7" s="339"/>
      <c r="C7" s="408"/>
      <c r="D7" s="359"/>
      <c r="E7" s="359"/>
      <c r="F7" s="359"/>
      <c r="G7" s="359"/>
      <c r="H7" s="409"/>
      <c r="I7" s="410"/>
      <c r="J7" s="404"/>
      <c r="O7" s="13"/>
    </row>
    <row r="8" spans="1:50" ht="16.8" thickTop="1" thickBot="1">
      <c r="A8" s="340" t="s">
        <v>243</v>
      </c>
      <c r="B8" s="490" t="s">
        <v>945</v>
      </c>
      <c r="C8" s="368" t="s">
        <v>51</v>
      </c>
      <c r="D8" s="89">
        <v>518929.79999999981</v>
      </c>
      <c r="E8" s="90">
        <v>249451</v>
      </c>
      <c r="F8" s="90">
        <v>-76334</v>
      </c>
      <c r="G8" s="90">
        <v>-111204</v>
      </c>
      <c r="H8" s="90">
        <v>-162873.39999999991</v>
      </c>
      <c r="I8" s="11"/>
      <c r="J8" s="51"/>
      <c r="O8" s="13"/>
      <c r="AX8" s="658" t="str">
        <f>CountryCode &amp; ".T2.WB.S1313.MNAC." &amp; RefVintage</f>
        <v>HU.T2.WB.S1313.MNAC.S.2021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HU.T2.WB_STATUS.S1313.MNAC.S.2021</v>
      </c>
    </row>
    <row r="11" spans="1:50" ht="15.6">
      <c r="A11" s="340" t="s">
        <v>244</v>
      </c>
      <c r="B11" s="490" t="s">
        <v>946</v>
      </c>
      <c r="C11" s="370" t="s">
        <v>92</v>
      </c>
      <c r="D11" s="136">
        <v>-11314.474475999999</v>
      </c>
      <c r="E11" s="136">
        <v>-17617</v>
      </c>
      <c r="F11" s="136">
        <v>-2680</v>
      </c>
      <c r="G11" s="136">
        <v>-6473.76</v>
      </c>
      <c r="H11" s="136">
        <v>8950</v>
      </c>
      <c r="I11" s="137"/>
      <c r="J11" s="52"/>
      <c r="O11" s="13"/>
      <c r="AX11" s="658" t="str">
        <f>CountryCode &amp; ".T2.FT.S1313.MNAC." &amp; RefVintage</f>
        <v>HU.T2.FT.S1313.MNAC.S.2021</v>
      </c>
    </row>
    <row r="12" spans="1:50" ht="15.6">
      <c r="A12" s="340" t="s">
        <v>245</v>
      </c>
      <c r="B12" s="490" t="s">
        <v>947</v>
      </c>
      <c r="C12" s="371" t="s">
        <v>53</v>
      </c>
      <c r="D12" s="136">
        <v>-22482.775248999998</v>
      </c>
      <c r="E12" s="136">
        <v>-8391</v>
      </c>
      <c r="F12" s="136">
        <v>-1763</v>
      </c>
      <c r="G12" s="136">
        <v>-2305</v>
      </c>
      <c r="H12" s="136">
        <v>2050</v>
      </c>
      <c r="I12" s="137"/>
      <c r="J12" s="52"/>
      <c r="O12" s="13"/>
      <c r="AX12" s="658" t="str">
        <f>CountryCode &amp; ".T2.F4.S1313.MNAC." &amp; RefVintage</f>
        <v>HU.T2.F4.S1313.MNAC.S.2021</v>
      </c>
    </row>
    <row r="13" spans="1:50" ht="15.6">
      <c r="A13" s="340" t="s">
        <v>246</v>
      </c>
      <c r="B13" s="490" t="s">
        <v>948</v>
      </c>
      <c r="C13" s="372" t="s">
        <v>54</v>
      </c>
      <c r="D13" s="136">
        <v>13095.686974999999</v>
      </c>
      <c r="E13" s="136">
        <v>-2911</v>
      </c>
      <c r="F13" s="136">
        <v>3725</v>
      </c>
      <c r="G13" s="136">
        <v>-2082.7600000000002</v>
      </c>
      <c r="H13" s="136">
        <v>6900</v>
      </c>
      <c r="I13" s="137"/>
      <c r="J13" s="52"/>
      <c r="O13" s="13"/>
      <c r="AX13" s="658" t="str">
        <f>CountryCode &amp; ".T2.F5.S1313.MNAC." &amp; RefVintage</f>
        <v>HU.T2.F5.S1313.MNAC.S.2021</v>
      </c>
    </row>
    <row r="14" spans="1:50" ht="15.6">
      <c r="A14" s="340" t="s">
        <v>247</v>
      </c>
      <c r="B14" s="490" t="s">
        <v>949</v>
      </c>
      <c r="C14" s="372" t="s">
        <v>35</v>
      </c>
      <c r="D14" s="136">
        <v>-1927.3862019999999</v>
      </c>
      <c r="E14" s="136">
        <v>-6315</v>
      </c>
      <c r="F14" s="136">
        <v>-4642</v>
      </c>
      <c r="G14" s="136">
        <v>-2086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HU.T2.OFT.S1313.MNAC.S.2021</v>
      </c>
    </row>
    <row r="15" spans="1:50" ht="16.2" thickBot="1">
      <c r="A15" s="340" t="s">
        <v>248</v>
      </c>
      <c r="B15" s="490" t="s">
        <v>950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HU.T2.OFTDL.S1313.MNAC.S.2021</v>
      </c>
    </row>
    <row r="16" spans="1:50" ht="16.2" thickBot="1">
      <c r="A16" s="341" t="s">
        <v>489</v>
      </c>
      <c r="B16" s="490" t="s">
        <v>951</v>
      </c>
      <c r="C16" s="265" t="s">
        <v>513</v>
      </c>
      <c r="D16" s="136" t="s">
        <v>1232</v>
      </c>
      <c r="E16" s="136" t="s">
        <v>1232</v>
      </c>
      <c r="F16" s="136" t="s">
        <v>1232</v>
      </c>
      <c r="G16" s="136" t="s">
        <v>1232</v>
      </c>
      <c r="H16" s="136" t="s">
        <v>1232</v>
      </c>
      <c r="I16" s="137"/>
      <c r="J16" s="52"/>
      <c r="O16" s="13"/>
      <c r="AX16" s="658" t="str">
        <f>CountryCode &amp; ".T2.F71K.S1313.MNAC." &amp; RefVintage</f>
        <v>HU.T2.F71K.S1313.MNAC.S.2021</v>
      </c>
    </row>
    <row r="17" spans="1:50" ht="15.6">
      <c r="A17" s="176" t="s">
        <v>249</v>
      </c>
      <c r="B17" s="490" t="s">
        <v>952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HU.T2.OFT1.S1313.MNAC.S.2021</v>
      </c>
    </row>
    <row r="18" spans="1:50" ht="15.6">
      <c r="A18" s="176" t="s">
        <v>250</v>
      </c>
      <c r="B18" s="490" t="s">
        <v>953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HU.T2.OFT2.S1313.MNAC.S.2021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251</v>
      </c>
      <c r="B20" s="490" t="s">
        <v>960</v>
      </c>
      <c r="C20" s="370" t="s">
        <v>121</v>
      </c>
      <c r="D20" s="150">
        <v>-7.1436999831348658E-2</v>
      </c>
      <c r="E20" s="150" t="s">
        <v>1232</v>
      </c>
      <c r="F20" s="150" t="s">
        <v>1232</v>
      </c>
      <c r="G20" s="150" t="s">
        <v>1232</v>
      </c>
      <c r="H20" s="150" t="s">
        <v>1232</v>
      </c>
      <c r="I20" s="137"/>
      <c r="J20" s="52"/>
      <c r="O20" s="13"/>
      <c r="AX20" s="658" t="str">
        <f>CountryCode &amp; ".T2.ONFT.S1313.MNAC." &amp; RefVintage</f>
        <v>HU.T2.ONFT.S1313.MNAC.S.2021</v>
      </c>
    </row>
    <row r="21" spans="1:50" ht="15.6">
      <c r="A21" s="176" t="s">
        <v>252</v>
      </c>
      <c r="B21" s="490" t="s">
        <v>961</v>
      </c>
      <c r="C21" s="147" t="s">
        <v>71</v>
      </c>
      <c r="D21" s="148">
        <v>-7.1436999831348658E-2</v>
      </c>
      <c r="E21" s="148" t="s">
        <v>1232</v>
      </c>
      <c r="F21" s="148" t="s">
        <v>1232</v>
      </c>
      <c r="G21" s="148" t="s">
        <v>1232</v>
      </c>
      <c r="H21" s="148" t="s">
        <v>1232</v>
      </c>
      <c r="I21" s="139"/>
      <c r="J21" s="52"/>
      <c r="O21" s="13"/>
      <c r="AX21" s="658" t="str">
        <f>CountryCode &amp; ".T2.ONFT1.S1313.MNAC." &amp; RefVintage</f>
        <v>HU.T2.ONFT1.S1313.MNAC.S.2021</v>
      </c>
    </row>
    <row r="22" spans="1:50" ht="15.6">
      <c r="A22" s="176" t="s">
        <v>253</v>
      </c>
      <c r="B22" s="490" t="s">
        <v>962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HU.T2.ONFT2.S1313.MNAC.S.2021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254</v>
      </c>
      <c r="B24" s="490" t="s">
        <v>965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HU.T2.D41DIF.S1313.MNAC.S.2021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545</v>
      </c>
      <c r="B26" s="490" t="s">
        <v>972</v>
      </c>
      <c r="C26" s="370" t="s">
        <v>48</v>
      </c>
      <c r="D26" s="150">
        <v>-472727.19231300009</v>
      </c>
      <c r="E26" s="150">
        <v>-197614</v>
      </c>
      <c r="F26" s="150">
        <v>61397</v>
      </c>
      <c r="G26" s="150">
        <v>126750</v>
      </c>
      <c r="H26" s="150">
        <v>50800.3</v>
      </c>
      <c r="I26" s="137"/>
      <c r="J26" s="52"/>
      <c r="O26" s="13"/>
      <c r="AX26" s="658" t="str">
        <f>CountryCode &amp; ".T2.F8ASS.S1313.MNAC." &amp; RefVintage</f>
        <v>HU.T2.F8ASS.S1313.MNAC.S.2021</v>
      </c>
    </row>
    <row r="27" spans="1:50" ht="15.6">
      <c r="A27" s="176" t="s">
        <v>546</v>
      </c>
      <c r="B27" s="490" t="s">
        <v>973</v>
      </c>
      <c r="C27" s="147" t="s">
        <v>1235</v>
      </c>
      <c r="D27" s="148">
        <v>0</v>
      </c>
      <c r="E27" s="148">
        <v>0</v>
      </c>
      <c r="F27" s="148">
        <v>0</v>
      </c>
      <c r="G27" s="148">
        <v>25964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HU.T2.F8ASS1.S1313.MNAC.S.2021</v>
      </c>
    </row>
    <row r="28" spans="1:50" ht="15.6">
      <c r="A28" s="176"/>
      <c r="B28" s="490" t="s">
        <v>974</v>
      </c>
      <c r="C28" s="147" t="s">
        <v>1292</v>
      </c>
      <c r="D28" s="148">
        <v>568</v>
      </c>
      <c r="E28" s="148">
        <v>1790</v>
      </c>
      <c r="F28" s="148">
        <v>12044</v>
      </c>
      <c r="G28" s="148">
        <v>-6744</v>
      </c>
      <c r="H28" s="148">
        <v>0</v>
      </c>
      <c r="I28" s="139"/>
      <c r="J28" s="52"/>
      <c r="O28" s="13"/>
    </row>
    <row r="29" spans="1:50" ht="15.6">
      <c r="A29" s="176"/>
      <c r="B29" s="490" t="s">
        <v>1290</v>
      </c>
      <c r="C29" s="147" t="s">
        <v>1241</v>
      </c>
      <c r="D29" s="148">
        <v>2527.8076869999168</v>
      </c>
      <c r="E29" s="148">
        <v>267</v>
      </c>
      <c r="F29" s="148">
        <v>-52</v>
      </c>
      <c r="G29" s="148">
        <v>868</v>
      </c>
      <c r="H29" s="148">
        <v>0</v>
      </c>
      <c r="I29" s="139" t="s">
        <v>1287</v>
      </c>
      <c r="J29" s="52"/>
      <c r="O29" s="13"/>
    </row>
    <row r="30" spans="1:50" ht="15.6">
      <c r="A30" s="176" t="s">
        <v>547</v>
      </c>
      <c r="B30" s="490" t="s">
        <v>1291</v>
      </c>
      <c r="C30" s="147" t="s">
        <v>1293</v>
      </c>
      <c r="D30" s="148">
        <v>-475823</v>
      </c>
      <c r="E30" s="148">
        <v>-199671</v>
      </c>
      <c r="F30" s="148">
        <v>49405</v>
      </c>
      <c r="G30" s="148">
        <v>106662</v>
      </c>
      <c r="H30" s="148">
        <v>50800.3</v>
      </c>
      <c r="I30" s="139"/>
      <c r="J30" s="52"/>
      <c r="O30" s="13"/>
      <c r="AX30" s="658" t="str">
        <f>CountryCode &amp; ".T2.F8ASS2.S1313.MNAC." &amp; RefVintage</f>
        <v>HU.T2.F8ASS2.S1313.MNAC.S.2021</v>
      </c>
    </row>
    <row r="31" spans="1:50" ht="15.6">
      <c r="A31" s="340" t="s">
        <v>548</v>
      </c>
      <c r="B31" s="490" t="s">
        <v>981</v>
      </c>
      <c r="C31" s="370" t="s">
        <v>47</v>
      </c>
      <c r="D31" s="150">
        <v>-11215.980316000001</v>
      </c>
      <c r="E31" s="150">
        <v>-9987</v>
      </c>
      <c r="F31" s="150">
        <v>-11735</v>
      </c>
      <c r="G31" s="150">
        <v>16185.617013999999</v>
      </c>
      <c r="H31" s="150">
        <v>0</v>
      </c>
      <c r="I31" s="137"/>
      <c r="J31" s="52"/>
      <c r="O31" s="13"/>
      <c r="AX31" s="658" t="str">
        <f>CountryCode &amp; ".T2.F8LIA.S1313.MNAC." &amp; RefVintage</f>
        <v>HU.T2.F8LIA.S1313.MNAC.S.2021</v>
      </c>
    </row>
    <row r="32" spans="1:50" ht="15.6">
      <c r="A32" s="176" t="s">
        <v>549</v>
      </c>
      <c r="B32" s="490" t="s">
        <v>982</v>
      </c>
      <c r="C32" s="147" t="s">
        <v>1258</v>
      </c>
      <c r="D32" s="148">
        <v>-31989</v>
      </c>
      <c r="E32" s="148">
        <v>9805</v>
      </c>
      <c r="F32" s="148">
        <v>-4016</v>
      </c>
      <c r="G32" s="148">
        <v>604.56726399999638</v>
      </c>
      <c r="H32" s="148">
        <v>0</v>
      </c>
      <c r="I32" s="139"/>
      <c r="J32" s="52"/>
      <c r="O32" s="13"/>
      <c r="AX32" s="658" t="str">
        <f>CountryCode &amp; ".T2.F8LIA1.S1313.MNAC." &amp; RefVintage</f>
        <v>HU.T2.F8LIA1.S1313.MNAC.S.2021</v>
      </c>
    </row>
    <row r="33" spans="1:50" ht="15.6">
      <c r="A33" s="176"/>
      <c r="B33" s="490" t="s">
        <v>983</v>
      </c>
      <c r="C33" s="147" t="s">
        <v>1259</v>
      </c>
      <c r="D33" s="148">
        <v>-1673</v>
      </c>
      <c r="E33" s="148">
        <v>-4362</v>
      </c>
      <c r="F33" s="148">
        <v>-3779</v>
      </c>
      <c r="G33" s="148">
        <v>7081</v>
      </c>
      <c r="H33" s="148">
        <v>0</v>
      </c>
      <c r="I33" s="139"/>
      <c r="J33" s="52"/>
      <c r="O33" s="13"/>
    </row>
    <row r="34" spans="1:50" ht="15.6">
      <c r="A34" s="176" t="s">
        <v>550</v>
      </c>
      <c r="B34" s="490" t="s">
        <v>1294</v>
      </c>
      <c r="C34" s="147" t="s">
        <v>1262</v>
      </c>
      <c r="D34" s="148">
        <v>22446.019683999999</v>
      </c>
      <c r="E34" s="148">
        <v>-15430</v>
      </c>
      <c r="F34" s="148">
        <v>-3940</v>
      </c>
      <c r="G34" s="148">
        <v>8500.0497500000019</v>
      </c>
      <c r="H34" s="148">
        <v>0</v>
      </c>
      <c r="I34" s="139"/>
      <c r="J34" s="52"/>
      <c r="O34" s="13"/>
      <c r="AX34" s="658" t="str">
        <f>CountryCode &amp; ".T2.F8LIA2.S1313.MNAC." &amp; RefVintage</f>
        <v>HU.T2.F8LIA2.S1313.MNAC.S.2021</v>
      </c>
    </row>
    <row r="35" spans="1:50" ht="15.6">
      <c r="A35" s="340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 ht="15.6">
      <c r="A36" s="340" t="s">
        <v>255</v>
      </c>
      <c r="B36" s="490" t="s">
        <v>992</v>
      </c>
      <c r="C36" s="370" t="s">
        <v>78</v>
      </c>
      <c r="D36" s="150" t="s">
        <v>1232</v>
      </c>
      <c r="E36" s="150" t="s">
        <v>1232</v>
      </c>
      <c r="F36" s="150" t="s">
        <v>1232</v>
      </c>
      <c r="G36" s="150" t="s">
        <v>1232</v>
      </c>
      <c r="H36" s="150" t="s">
        <v>1232</v>
      </c>
      <c r="I36" s="137"/>
      <c r="J36" s="52"/>
      <c r="O36" s="13"/>
      <c r="AX36" s="658" t="str">
        <f>CountryCode &amp; ".T2.B9_OWB.S1313.MNAC." &amp; RefVintage</f>
        <v>HU.T2.B9_OWB.S1313.MNAC.S.2021</v>
      </c>
    </row>
    <row r="37" spans="1:50" ht="15.6">
      <c r="A37" s="340" t="s">
        <v>256</v>
      </c>
      <c r="B37" s="490" t="s">
        <v>993</v>
      </c>
      <c r="C37" s="370" t="s">
        <v>787</v>
      </c>
      <c r="D37" s="150">
        <v>-5712</v>
      </c>
      <c r="E37" s="150">
        <v>5693</v>
      </c>
      <c r="F37" s="150">
        <v>-13308.740167</v>
      </c>
      <c r="G37" s="150">
        <v>1548.1771759938056</v>
      </c>
      <c r="H37" s="150">
        <v>-25494.136000000053</v>
      </c>
      <c r="I37" s="137"/>
      <c r="J37" s="52"/>
      <c r="O37" s="13"/>
      <c r="AX37" s="658" t="str">
        <f>CountryCode &amp; ".T2.B9_OB.S1313.MNAC." &amp; RefVintage</f>
        <v>HU.T2.B9_OB.S1313.MNAC.S.2021</v>
      </c>
    </row>
    <row r="38" spans="1:50" ht="15.6">
      <c r="A38" s="176" t="s">
        <v>257</v>
      </c>
      <c r="B38" s="490" t="s">
        <v>994</v>
      </c>
      <c r="C38" s="147" t="s">
        <v>1295</v>
      </c>
      <c r="D38" s="148">
        <v>-5950</v>
      </c>
      <c r="E38" s="148">
        <v>6168</v>
      </c>
      <c r="F38" s="148">
        <v>-13175</v>
      </c>
      <c r="G38" s="148">
        <v>1769.1771759938056</v>
      </c>
      <c r="H38" s="148">
        <v>-25621.186000000052</v>
      </c>
      <c r="I38" s="139"/>
      <c r="J38" s="52"/>
      <c r="O38" s="13"/>
      <c r="AX38" s="658" t="str">
        <f>CountryCode &amp; ".T2.B9_OB1.S1313.MNAC." &amp; RefVintage</f>
        <v>HU.T2.B9_OB1.S1313.MNAC.S.2021</v>
      </c>
    </row>
    <row r="39" spans="1:50" ht="15.6">
      <c r="A39" s="176" t="s">
        <v>258</v>
      </c>
      <c r="B39" s="490" t="s">
        <v>995</v>
      </c>
      <c r="C39" s="147" t="s">
        <v>1296</v>
      </c>
      <c r="D39" s="148">
        <v>238</v>
      </c>
      <c r="E39" s="148">
        <v>-475</v>
      </c>
      <c r="F39" s="148">
        <v>-133.74016700000007</v>
      </c>
      <c r="G39" s="148">
        <v>-221</v>
      </c>
      <c r="H39" s="148">
        <v>127.04999999999973</v>
      </c>
      <c r="I39" s="139"/>
      <c r="J39" s="52"/>
      <c r="O39" s="13"/>
      <c r="AX39" s="658" t="str">
        <f>CountryCode &amp; ".T2.B9_OB2.S1313.MNAC." &amp; RefVintage</f>
        <v>HU.T2.B9_OB2.S1313.MNAC.S.2021</v>
      </c>
    </row>
    <row r="40" spans="1:50" ht="15.6">
      <c r="A40" s="340"/>
      <c r="B40" s="598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 ht="15.6">
      <c r="A41" s="340" t="s">
        <v>259</v>
      </c>
      <c r="B41" s="490" t="s">
        <v>1004</v>
      </c>
      <c r="C41" s="370" t="s">
        <v>49</v>
      </c>
      <c r="D41" s="150">
        <v>2578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8" t="str">
        <f>CountryCode &amp; ".T2.OA.S1313.MNAC." &amp; RefVintage</f>
        <v>HU.T2.OA.S1313.MNAC.S.2021</v>
      </c>
    </row>
    <row r="42" spans="1:50" ht="15.6">
      <c r="A42" s="176" t="s">
        <v>260</v>
      </c>
      <c r="B42" s="490" t="s">
        <v>1005</v>
      </c>
      <c r="C42" s="147" t="s">
        <v>1297</v>
      </c>
      <c r="D42" s="148">
        <v>2578</v>
      </c>
      <c r="E42" s="148">
        <v>0</v>
      </c>
      <c r="F42" s="148">
        <v>0</v>
      </c>
      <c r="G42" s="148">
        <v>0</v>
      </c>
      <c r="H42" s="148">
        <v>0</v>
      </c>
      <c r="I42" s="139"/>
      <c r="J42" s="52"/>
      <c r="O42" s="13"/>
      <c r="AX42" s="658" t="str">
        <f>CountryCode &amp; ".T2.OA1.S1313.MNAC." &amp; RefVintage</f>
        <v>HU.T2.OA1.S1313.MNAC.S.2021</v>
      </c>
    </row>
    <row r="43" spans="1:50" ht="15.6">
      <c r="A43" s="176" t="s">
        <v>261</v>
      </c>
      <c r="B43" s="490" t="s">
        <v>1006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".T2.OA2.S1313.MNAC." &amp; RefVintage</f>
        <v>HU.T2.OA2.S1313.MNAC.S.2021</v>
      </c>
    </row>
    <row r="44" spans="1:50" ht="15.6">
      <c r="A44" s="176" t="s">
        <v>262</v>
      </c>
      <c r="B44" s="490" t="s">
        <v>1007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8" t="str">
        <f>CountryCode &amp; ".T2.OA3.S1313.MNAC." &amp; RefVintage</f>
        <v>HU.T2.OA3.S1313.MNAC.S.2021</v>
      </c>
    </row>
    <row r="45" spans="1:50" ht="16.2" thickBot="1">
      <c r="A45" s="340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6.8" thickTop="1" thickBot="1">
      <c r="A46" s="340" t="s">
        <v>263</v>
      </c>
      <c r="B46" s="490" t="s">
        <v>1010</v>
      </c>
      <c r="C46" s="374" t="s">
        <v>772</v>
      </c>
      <c r="D46" s="91">
        <v>20538.081457999884</v>
      </c>
      <c r="E46" s="91">
        <v>29926</v>
      </c>
      <c r="F46" s="91">
        <v>-42660.740166999996</v>
      </c>
      <c r="G46" s="91">
        <v>26806.03418999381</v>
      </c>
      <c r="H46" s="91">
        <v>-128617.23599999996</v>
      </c>
      <c r="I46" s="4"/>
      <c r="J46" s="51"/>
      <c r="O46" s="13"/>
      <c r="AX46" s="658" t="str">
        <f>CountryCode &amp; ".T2.B9.S1313.MNAC." &amp; RefVintage</f>
        <v>HU.T2.B9.S1313.MNAC.S.2021</v>
      </c>
    </row>
    <row r="47" spans="1:50" ht="16.2" thickTop="1">
      <c r="A47" s="292"/>
      <c r="B47" s="279"/>
      <c r="C47" s="375" t="s">
        <v>471</v>
      </c>
      <c r="D47" s="35"/>
      <c r="E47" s="26"/>
      <c r="F47" s="26"/>
      <c r="G47" s="24"/>
      <c r="H47" s="229"/>
      <c r="I47" s="26"/>
      <c r="J47" s="52"/>
      <c r="K47" s="13"/>
    </row>
    <row r="48" spans="1:50" ht="9" customHeight="1">
      <c r="A48" s="292"/>
      <c r="B48" s="279"/>
      <c r="C48" s="186"/>
      <c r="D48" s="59"/>
      <c r="E48" s="26"/>
      <c r="F48" s="26"/>
      <c r="G48" s="26"/>
      <c r="H48" s="230"/>
      <c r="I48" s="26"/>
      <c r="J48" s="52"/>
      <c r="K48" s="13"/>
    </row>
    <row r="49" spans="1:256" s="23" customFormat="1" ht="15.6">
      <c r="A49" s="292"/>
      <c r="B49" s="293"/>
      <c r="C49" s="376" t="s">
        <v>90</v>
      </c>
      <c r="D49" s="27"/>
      <c r="E49" s="27"/>
      <c r="F49" s="27"/>
      <c r="G49" s="27"/>
      <c r="H49" s="231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2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4.6">
      <c r="A50" s="292"/>
      <c r="B50" s="279"/>
      <c r="C50" s="272" t="s">
        <v>93</v>
      </c>
      <c r="D50" s="245"/>
      <c r="E50" s="411"/>
      <c r="F50" s="26"/>
      <c r="G50" s="171"/>
      <c r="H50" s="230"/>
      <c r="I50" s="26"/>
      <c r="J50" s="52"/>
      <c r="K50" s="13"/>
    </row>
    <row r="51" spans="1:256" ht="12" customHeight="1" thickBot="1">
      <c r="A51" s="399"/>
      <c r="B51" s="400"/>
      <c r="C51" s="183"/>
      <c r="D51" s="53"/>
      <c r="E51" s="53"/>
      <c r="F51" s="53"/>
      <c r="G51" s="53"/>
      <c r="H51" s="227"/>
      <c r="I51" s="53"/>
      <c r="J51" s="54"/>
      <c r="L51" s="13"/>
    </row>
    <row r="52" spans="1:256" ht="16.2" thickTop="1">
      <c r="A52" s="26"/>
      <c r="B52" s="30"/>
      <c r="L52" s="13"/>
    </row>
    <row r="53" spans="1:256">
      <c r="A53" s="26"/>
    </row>
    <row r="54" spans="1:256" ht="30" customHeight="1">
      <c r="A54" s="26"/>
      <c r="C54" s="389" t="s">
        <v>122</v>
      </c>
      <c r="D54" s="693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3"/>
      <c r="F54" s="693"/>
      <c r="G54" s="693"/>
      <c r="H54" s="390"/>
      <c r="I54" s="378"/>
      <c r="J54" s="241"/>
    </row>
    <row r="55" spans="1:256" ht="15.6">
      <c r="A55" s="26"/>
      <c r="C55" s="242" t="s">
        <v>123</v>
      </c>
      <c r="D55" s="391"/>
      <c r="E55" s="317"/>
      <c r="F55" s="317"/>
      <c r="G55" s="317"/>
      <c r="H55" s="392"/>
      <c r="I55" s="243"/>
      <c r="J55" s="244"/>
    </row>
    <row r="56" spans="1:256" ht="21.6">
      <c r="A56" s="26"/>
      <c r="C56" s="380" t="s">
        <v>551</v>
      </c>
      <c r="D56" s="381">
        <f>IF(D46="M",0,D46)-IF(D8="M",0,D8)-IF(D11="M",0,D11)-IF(D20="M",0,D20)-IF(D24="M",0,D24)-IF(D26="M",0,D26)-IF(D31="M",0,D31)-IF(D36="M",0,D36)-IF(D37="M",0,D37)-IF(D41="M",0,D41)</f>
        <v>0</v>
      </c>
      <c r="E56" s="381">
        <f>IF(E46="M",0,E46)-IF(E8="M",0,E8)-IF(E11="M",0,E11)-IF(E20="M",0,E20)-IF(E24="M",0,E24)-IF(E26="M",0,E26)-IF(E31="M",0,E31)-IF(E36="M",0,E36)-IF(E37="M",0,E37)-IF(E41="M",0,E41)</f>
        <v>0</v>
      </c>
      <c r="F56" s="381">
        <f>IF(F46="M",0,F46)-IF(F8="M",0,F8)-IF(F11="M",0,F11)-IF(F20="M",0,F20)-IF(F24="M",0,F24)-IF(F26="M",0,F26)-IF(F31="M",0,F31)-IF(F36="M",0,F36)-IF(F37="M",0,F37)-IF(F41="M",0,F41)</f>
        <v>3.637978807091713E-12</v>
      </c>
      <c r="G56" s="381">
        <f>IF(G46="M",0,G46)-IF(G8="M",0,G8)-IF(G11="M",0,G11)-IF(G20="M",0,G20)-IF(G24="M",0,G24)-IF(G26="M",0,G26)-IF(G31="M",0,G31)-IF(G36="M",0,G36)-IF(G37="M",0,G37)-IF(G41="M",0,G41)</f>
        <v>1.0913936421275139E-11</v>
      </c>
      <c r="H56" s="393">
        <f>IF(H46="M",0,H46)-IF(H8="M",0,H8)-IF(H11="M",0,H11)-IF(H20="M",0,H20)-IF(H24="M",0,H24)-IF(H26="M",0,H26)-IF(H31="M",0,H31)-IF(H36="M",0,H36)-IF(H37="M",0,H37)-IF(H41="M",0,H41)</f>
        <v>-3.637978807091713E-12</v>
      </c>
      <c r="I56" s="243"/>
      <c r="J56" s="244"/>
    </row>
    <row r="57" spans="1:256" ht="15.6">
      <c r="A57" s="26"/>
      <c r="C57" s="380" t="s">
        <v>149</v>
      </c>
      <c r="D57" s="381">
        <f>IF(D11="M",0,D11)-IF(D12="M",0,D12)-IF(D13="M",0,D13)-IF(D14="M",0,D14)</f>
        <v>0</v>
      </c>
      <c r="E57" s="381">
        <f>IF(E11="M",0,E11)-IF(E12="M",0,E12)-IF(E13="M",0,E13)-IF(E14="M",0,E14)</f>
        <v>0</v>
      </c>
      <c r="F57" s="381">
        <f>IF(F11="M",0,F11)-IF(F12="M",0,F12)-IF(F13="M",0,F13)-IF(F14="M",0,F14)</f>
        <v>0</v>
      </c>
      <c r="G57" s="381">
        <f>IF(G11="M",0,G11)-IF(G12="M",0,G12)-IF(G13="M",0,G13)-IF(G14="M",0,G14)</f>
        <v>0</v>
      </c>
      <c r="H57" s="393">
        <f>IF(H11="M",0,H11)-IF(H12="M",0,H12)-IF(H13="M",0,H13)-IF(H14="M",0,H14)</f>
        <v>0</v>
      </c>
      <c r="I57" s="243"/>
      <c r="J57" s="244"/>
    </row>
    <row r="58" spans="1:256" ht="15.6">
      <c r="A58" s="26"/>
      <c r="C58" s="380" t="s">
        <v>150</v>
      </c>
      <c r="D58" s="381">
        <f>D41-SUM(D42:D45)</f>
        <v>0</v>
      </c>
      <c r="E58" s="381">
        <f>E41-SUM(E42:E45)</f>
        <v>0</v>
      </c>
      <c r="F58" s="381">
        <f>F41-SUM(F42:F45)</f>
        <v>0</v>
      </c>
      <c r="G58" s="381">
        <f>G41-SUM(G42:G45)</f>
        <v>0</v>
      </c>
      <c r="H58" s="393">
        <f>H41-SUM(H42:H45)</f>
        <v>0</v>
      </c>
      <c r="I58" s="243"/>
      <c r="J58" s="244"/>
    </row>
    <row r="59" spans="1:256" ht="15.6">
      <c r="A59" s="26"/>
      <c r="C59" s="383" t="s">
        <v>129</v>
      </c>
      <c r="D59" s="246"/>
      <c r="E59" s="246"/>
      <c r="F59" s="246"/>
      <c r="G59" s="246"/>
      <c r="H59" s="394"/>
      <c r="I59" s="243"/>
      <c r="J59" s="244"/>
    </row>
    <row r="60" spans="1:256" ht="15.6">
      <c r="A60" s="24"/>
      <c r="C60" s="385" t="s">
        <v>151</v>
      </c>
      <c r="D60" s="249">
        <f>IF('Table 1'!E13="M",0,'Table 1'!E13)-IF('Table 2C'!D46="M",0,'Table 2C'!D46)</f>
        <v>0</v>
      </c>
      <c r="E60" s="249">
        <f>IF('Table 1'!F13="M",0,'Table 1'!F13)-IF('Table 2C'!E46="M",0,'Table 2C'!E46)</f>
        <v>0</v>
      </c>
      <c r="F60" s="249">
        <f>IF('Table 1'!G13="M",0,'Table 1'!G13)-IF('Table 2C'!F46="M",0,'Table 2C'!F46)</f>
        <v>0</v>
      </c>
      <c r="G60" s="249">
        <f>IF('Table 1'!H13="M",0,'Table 1'!H13)-IF('Table 2C'!G46="M",0,'Table 2C'!G46)</f>
        <v>0</v>
      </c>
      <c r="H60" s="395">
        <f>IF('Table 1'!I13="M",0,'Table 1'!I13)-IF('Table 2C'!H46="M",0,'Table 2C'!H46)</f>
        <v>0</v>
      </c>
      <c r="I60" s="387"/>
      <c r="J60" s="388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21" priority="4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20" priority="3" operator="equal">
      <formula>""</formula>
    </cfRule>
  </conditionalFormatting>
  <conditionalFormatting sqref="H8">
    <cfRule type="cellIs" dxfId="19" priority="2" operator="equal">
      <formula>""</formula>
    </cfRule>
  </conditionalFormatting>
  <conditionalFormatting sqref="H11:H16 H20 H24 H26 H31 H36:H37 H41 H46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3" colorId="22" zoomScale="80" zoomScaleNormal="80" zoomScaleSheetLayoutView="80" workbookViewId="0">
      <selection activeCell="I24" sqref="I24"/>
    </sheetView>
  </sheetViews>
  <sheetFormatPr defaultColWidth="9.81640625" defaultRowHeight="15"/>
  <cols>
    <col min="1" max="1" width="11.08984375" style="20" hidden="1" customWidth="1"/>
    <col min="2" max="2" width="41" style="20" bestFit="1" customWidth="1"/>
    <col min="3" max="3" width="67.453125" style="25" customWidth="1"/>
    <col min="4" max="4" width="11" style="10" customWidth="1"/>
    <col min="5" max="6" width="10.81640625" style="10" customWidth="1"/>
    <col min="7" max="7" width="10.6328125" style="10" customWidth="1"/>
    <col min="8" max="8" width="10.6328125" style="208" customWidth="1"/>
    <col min="9" max="9" width="72.81640625" style="10" customWidth="1"/>
    <col min="10" max="10" width="5.36328125" style="10" customWidth="1"/>
    <col min="11" max="11" width="1" style="10" customWidth="1"/>
    <col min="12" max="12" width="0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795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79" t="s">
        <v>1229</v>
      </c>
    </row>
    <row r="3" spans="1:50" ht="16.2" thickTop="1">
      <c r="A3" s="336"/>
      <c r="B3" s="397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61"/>
      <c r="L4" s="267" t="s">
        <v>455</v>
      </c>
      <c r="M4" s="333"/>
      <c r="O4" s="13"/>
    </row>
    <row r="5" spans="1:50" ht="15.6">
      <c r="A5" s="282" t="s">
        <v>126</v>
      </c>
      <c r="B5" s="398" t="s">
        <v>485</v>
      </c>
      <c r="C5" s="22" t="s">
        <v>1231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58"/>
      <c r="J5" s="61"/>
      <c r="O5" s="13"/>
    </row>
    <row r="6" spans="1:50" ht="15.6">
      <c r="A6" s="282"/>
      <c r="B6" s="338"/>
      <c r="C6" s="286" t="str">
        <f>'Cover page'!E14</f>
        <v>Date: 11/10/2021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6.8" thickTop="1" thickBot="1">
      <c r="A8" s="340" t="s">
        <v>264</v>
      </c>
      <c r="B8" s="490" t="s">
        <v>936</v>
      </c>
      <c r="C8" s="368" t="s">
        <v>52</v>
      </c>
      <c r="D8" s="89">
        <v>-142890.20000000019</v>
      </c>
      <c r="E8" s="90">
        <v>-83686</v>
      </c>
      <c r="F8" s="90">
        <v>-234884</v>
      </c>
      <c r="G8" s="90">
        <v>-642060</v>
      </c>
      <c r="H8" s="90">
        <v>-526588.20000000019</v>
      </c>
      <c r="I8" s="11"/>
      <c r="J8" s="51"/>
      <c r="O8" s="13"/>
      <c r="AX8" s="658" t="str">
        <f>CountryCode &amp; ".T2.WB.S1314.MNAC." &amp; RefVintage</f>
        <v>HU.T2.WB.S1314.MNAC.S.2021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HU.T2.WB_STATUS.S1314.MNAC.S.2021</v>
      </c>
    </row>
    <row r="11" spans="1:50" ht="15.6">
      <c r="A11" s="340" t="s">
        <v>265</v>
      </c>
      <c r="B11" s="490" t="s">
        <v>937</v>
      </c>
      <c r="C11" s="370" t="s">
        <v>94</v>
      </c>
      <c r="D11" s="136">
        <v>-20.331517999999999</v>
      </c>
      <c r="E11" s="136">
        <v>3</v>
      </c>
      <c r="F11" s="136">
        <v>7</v>
      </c>
      <c r="G11" s="136">
        <v>-2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HU.T2.FT.S1314.MNAC.S.2021</v>
      </c>
    </row>
    <row r="12" spans="1:50" ht="15.6">
      <c r="A12" s="340" t="s">
        <v>266</v>
      </c>
      <c r="B12" s="490" t="s">
        <v>938</v>
      </c>
      <c r="C12" s="371" t="s">
        <v>53</v>
      </c>
      <c r="D12" s="136">
        <v>-21.561416999999999</v>
      </c>
      <c r="E12" s="136">
        <v>3</v>
      </c>
      <c r="F12" s="136">
        <v>3</v>
      </c>
      <c r="G12" s="136">
        <v>-2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HU.T2.F4.S1314.MNAC.S.2021</v>
      </c>
    </row>
    <row r="13" spans="1:50" ht="15.6">
      <c r="A13" s="340" t="s">
        <v>267</v>
      </c>
      <c r="B13" s="490" t="s">
        <v>939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HU.T2.F5.S1314.MNAC.S.2021</v>
      </c>
    </row>
    <row r="14" spans="1:50" ht="15.6">
      <c r="A14" s="340" t="s">
        <v>268</v>
      </c>
      <c r="B14" s="490" t="s">
        <v>940</v>
      </c>
      <c r="C14" s="372" t="s">
        <v>35</v>
      </c>
      <c r="D14" s="136">
        <v>1.2298990000000001</v>
      </c>
      <c r="E14" s="136">
        <v>0</v>
      </c>
      <c r="F14" s="136">
        <v>4</v>
      </c>
      <c r="G14" s="136">
        <v>0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HU.T2.OFT.S1314.MNAC.S.2021</v>
      </c>
    </row>
    <row r="15" spans="1:50" ht="16.2" thickBot="1">
      <c r="A15" s="340" t="s">
        <v>269</v>
      </c>
      <c r="B15" s="490" t="s">
        <v>941</v>
      </c>
      <c r="C15" s="373" t="s">
        <v>512</v>
      </c>
      <c r="D15" s="136" t="s">
        <v>1232</v>
      </c>
      <c r="E15" s="136" t="s">
        <v>1232</v>
      </c>
      <c r="F15" s="136" t="s">
        <v>1232</v>
      </c>
      <c r="G15" s="136" t="s">
        <v>1232</v>
      </c>
      <c r="H15" s="136" t="s">
        <v>1232</v>
      </c>
      <c r="I15" s="137"/>
      <c r="J15" s="52"/>
      <c r="O15" s="13"/>
      <c r="AX15" s="658" t="str">
        <f>CountryCode &amp; ".T2.OFTDL.S1314.MNAC." &amp; RefVintage</f>
        <v>HU.T2.OFTDL.S1314.MNAC.S.2021</v>
      </c>
    </row>
    <row r="16" spans="1:50" ht="16.2" thickBot="1">
      <c r="A16" s="341" t="s">
        <v>488</v>
      </c>
      <c r="B16" s="490" t="s">
        <v>942</v>
      </c>
      <c r="C16" s="265" t="s">
        <v>513</v>
      </c>
      <c r="D16" s="136" t="s">
        <v>1232</v>
      </c>
      <c r="E16" s="136" t="s">
        <v>1232</v>
      </c>
      <c r="F16" s="136" t="s">
        <v>1232</v>
      </c>
      <c r="G16" s="136" t="s">
        <v>1232</v>
      </c>
      <c r="H16" s="136" t="s">
        <v>1232</v>
      </c>
      <c r="I16" s="137"/>
      <c r="J16" s="52"/>
      <c r="O16" s="13"/>
      <c r="AX16" s="658" t="str">
        <f>CountryCode &amp; ".T2.F71K.S1314.MNAC." &amp; RefVintage</f>
        <v>HU.T2.F71K.S1314.MNAC.S.2021</v>
      </c>
    </row>
    <row r="17" spans="1:50" ht="15.6">
      <c r="A17" s="176" t="s">
        <v>270</v>
      </c>
      <c r="B17" s="490" t="s">
        <v>943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HU.T2.OFT1.S1314.MNAC.S.2021</v>
      </c>
    </row>
    <row r="18" spans="1:50" ht="15.6">
      <c r="A18" s="176" t="s">
        <v>271</v>
      </c>
      <c r="B18" s="490" t="s">
        <v>944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HU.T2.OFT2.S1314.MNAC.S.2021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272</v>
      </c>
      <c r="B20" s="490" t="s">
        <v>957</v>
      </c>
      <c r="C20" s="370" t="s">
        <v>121</v>
      </c>
      <c r="D20" s="150" t="s">
        <v>1232</v>
      </c>
      <c r="E20" s="150" t="s">
        <v>1232</v>
      </c>
      <c r="F20" s="150" t="s">
        <v>1232</v>
      </c>
      <c r="G20" s="150" t="s">
        <v>1232</v>
      </c>
      <c r="H20" s="150" t="s">
        <v>1232</v>
      </c>
      <c r="I20" s="137"/>
      <c r="J20" s="52"/>
      <c r="O20" s="13"/>
      <c r="AX20" s="658" t="str">
        <f>CountryCode &amp; ".T2.ONFT.S1314.MNAC." &amp; RefVintage</f>
        <v>HU.T2.ONFT.S1314.MNAC.S.2021</v>
      </c>
    </row>
    <row r="21" spans="1:50" ht="15.6">
      <c r="A21" s="176" t="s">
        <v>273</v>
      </c>
      <c r="B21" s="490" t="s">
        <v>958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HU.T2.ONFT1.S1314.MNAC.S.2021</v>
      </c>
    </row>
    <row r="22" spans="1:50" ht="15.6">
      <c r="A22" s="176" t="s">
        <v>274</v>
      </c>
      <c r="B22" s="490" t="s">
        <v>959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HU.T2.ONFT2.S1314.MNAC.S.2021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275</v>
      </c>
      <c r="B24" s="490" t="s">
        <v>964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HU.T2.D41DIF.S1314.MNAC.S.2021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552</v>
      </c>
      <c r="B26" s="490" t="s">
        <v>969</v>
      </c>
      <c r="C26" s="370" t="s">
        <v>48</v>
      </c>
      <c r="D26" s="150">
        <v>15601.016756999921</v>
      </c>
      <c r="E26" s="150">
        <v>21604.450634000001</v>
      </c>
      <c r="F26" s="150">
        <v>12987</v>
      </c>
      <c r="G26" s="150">
        <v>-24616</v>
      </c>
      <c r="H26" s="150">
        <v>66580</v>
      </c>
      <c r="I26" s="137"/>
      <c r="J26" s="52"/>
      <c r="O26" s="13"/>
      <c r="AX26" s="658" t="str">
        <f>CountryCode &amp; ".T2.F8ASS.S1314.MNAC." &amp; RefVintage</f>
        <v>HU.T2.F8ASS.S1314.MNAC.S.2021</v>
      </c>
    </row>
    <row r="27" spans="1:50" ht="15.6">
      <c r="A27" s="176" t="s">
        <v>553</v>
      </c>
      <c r="B27" s="490" t="s">
        <v>970</v>
      </c>
      <c r="C27" s="147" t="s">
        <v>1292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39"/>
      <c r="J27" s="52"/>
      <c r="O27" s="13"/>
      <c r="AX27" s="658" t="str">
        <f>CountryCode &amp; ".T2.F8ASS1.S1314.MNAC." &amp; RefVintage</f>
        <v>HU.T2.F8ASS1.S1314.MNAC.S.2021</v>
      </c>
    </row>
    <row r="28" spans="1:50" ht="15.6">
      <c r="A28" s="176"/>
      <c r="B28" s="490" t="s">
        <v>971</v>
      </c>
      <c r="C28" s="147" t="s">
        <v>1300</v>
      </c>
      <c r="D28" s="148">
        <v>3388</v>
      </c>
      <c r="E28" s="148">
        <v>1620</v>
      </c>
      <c r="F28" s="148">
        <v>-491</v>
      </c>
      <c r="G28" s="148">
        <v>-1676</v>
      </c>
      <c r="H28" s="148">
        <v>900</v>
      </c>
      <c r="I28" s="139"/>
      <c r="J28" s="52"/>
      <c r="O28" s="13"/>
    </row>
    <row r="29" spans="1:50" ht="15.6">
      <c r="A29" s="176"/>
      <c r="B29" s="490" t="s">
        <v>1298</v>
      </c>
      <c r="C29" s="147" t="s">
        <v>1238</v>
      </c>
      <c r="D29" s="148">
        <v>19944</v>
      </c>
      <c r="E29" s="148">
        <v>20646</v>
      </c>
      <c r="F29" s="148">
        <v>13478</v>
      </c>
      <c r="G29" s="148">
        <v>-22940</v>
      </c>
      <c r="H29" s="148">
        <v>65680</v>
      </c>
      <c r="I29" s="139"/>
      <c r="J29" s="52"/>
      <c r="O29" s="13"/>
    </row>
    <row r="30" spans="1:50" ht="15.6">
      <c r="A30" s="176" t="s">
        <v>554</v>
      </c>
      <c r="B30" s="490" t="s">
        <v>1299</v>
      </c>
      <c r="C30" s="147" t="s">
        <v>1241</v>
      </c>
      <c r="D30" s="148">
        <v>-7730.9832430000788</v>
      </c>
      <c r="E30" s="148">
        <v>-661.54936599999928</v>
      </c>
      <c r="F30" s="148">
        <v>0</v>
      </c>
      <c r="G30" s="148">
        <v>0</v>
      </c>
      <c r="H30" s="148">
        <v>0</v>
      </c>
      <c r="I30" s="139" t="s">
        <v>1287</v>
      </c>
      <c r="J30" s="52"/>
      <c r="O30" s="13"/>
      <c r="AX30" s="658" t="str">
        <f>CountryCode &amp; ".T2.F8ASS2.S1314.MNAC." &amp; RefVintage</f>
        <v>HU.T2.F8ASS2.S1314.MNAC.S.2021</v>
      </c>
    </row>
    <row r="31" spans="1:50" ht="15.6">
      <c r="A31" s="340" t="s">
        <v>555</v>
      </c>
      <c r="B31" s="490" t="s">
        <v>978</v>
      </c>
      <c r="C31" s="370" t="s">
        <v>47</v>
      </c>
      <c r="D31" s="150">
        <v>1735.4724239999998</v>
      </c>
      <c r="E31" s="150">
        <v>1188</v>
      </c>
      <c r="F31" s="150">
        <v>1276</v>
      </c>
      <c r="G31" s="150">
        <v>-448.43969700000127</v>
      </c>
      <c r="H31" s="150">
        <v>0</v>
      </c>
      <c r="I31" s="137"/>
      <c r="J31" s="52"/>
      <c r="O31" s="13"/>
      <c r="AX31" s="658" t="str">
        <f>CountryCode &amp; ".T2.F8LIA.S1314.MNAC." &amp; RefVintage</f>
        <v>HU.T2.F8LIA.S1314.MNAC.S.2021</v>
      </c>
    </row>
    <row r="32" spans="1:50" ht="15.6">
      <c r="A32" s="176" t="s">
        <v>556</v>
      </c>
      <c r="B32" s="490" t="s">
        <v>979</v>
      </c>
      <c r="C32" s="147" t="s">
        <v>1301</v>
      </c>
      <c r="D32" s="148">
        <v>1047</v>
      </c>
      <c r="E32" s="148">
        <v>1276</v>
      </c>
      <c r="F32" s="148">
        <v>1276</v>
      </c>
      <c r="G32" s="148">
        <v>-509.43969700000127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HU.T2.F8LIA1.S1314.MNAC.S.2021</v>
      </c>
    </row>
    <row r="33" spans="1:50" ht="15.6">
      <c r="A33" s="176" t="s">
        <v>557</v>
      </c>
      <c r="B33" s="490" t="s">
        <v>980</v>
      </c>
      <c r="C33" s="147" t="s">
        <v>1302</v>
      </c>
      <c r="D33" s="148">
        <v>688.47242399999982</v>
      </c>
      <c r="E33" s="148">
        <v>-88</v>
      </c>
      <c r="F33" s="148">
        <v>0</v>
      </c>
      <c r="G33" s="148">
        <v>61</v>
      </c>
      <c r="H33" s="148">
        <v>0</v>
      </c>
      <c r="I33" s="139"/>
      <c r="J33" s="52"/>
      <c r="O33" s="13"/>
      <c r="AX33" s="658" t="str">
        <f>CountryCode &amp; ".T2.F8LIA2.S1314.MNAC." &amp; RefVintage</f>
        <v>HU.T2.F8LIA2.S1314.MNAC.S.2021</v>
      </c>
    </row>
    <row r="34" spans="1:50" ht="15.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 ht="15.6">
      <c r="A35" s="340" t="s">
        <v>276</v>
      </c>
      <c r="B35" s="490" t="s">
        <v>988</v>
      </c>
      <c r="C35" s="370" t="s">
        <v>79</v>
      </c>
      <c r="D35" s="150" t="s">
        <v>1232</v>
      </c>
      <c r="E35" s="150" t="s">
        <v>1232</v>
      </c>
      <c r="F35" s="150" t="s">
        <v>1232</v>
      </c>
      <c r="G35" s="150" t="s">
        <v>1232</v>
      </c>
      <c r="H35" s="150" t="s">
        <v>1232</v>
      </c>
      <c r="I35" s="137"/>
      <c r="J35" s="52"/>
      <c r="O35" s="13"/>
      <c r="AX35" s="658" t="str">
        <f>CountryCode &amp; ".T2.B9_OWB.S1314.MNAC." &amp; RefVintage</f>
        <v>HU.T2.B9_OWB.S1314.MNAC.S.2021</v>
      </c>
    </row>
    <row r="36" spans="1:50" ht="15.6">
      <c r="A36" s="340" t="s">
        <v>277</v>
      </c>
      <c r="B36" s="490" t="s">
        <v>989</v>
      </c>
      <c r="C36" s="370" t="s">
        <v>788</v>
      </c>
      <c r="D36" s="150" t="s">
        <v>1232</v>
      </c>
      <c r="E36" s="150" t="s">
        <v>1232</v>
      </c>
      <c r="F36" s="150" t="s">
        <v>1232</v>
      </c>
      <c r="G36" s="150" t="s">
        <v>1232</v>
      </c>
      <c r="H36" s="150" t="s">
        <v>1232</v>
      </c>
      <c r="I36" s="137"/>
      <c r="J36" s="52"/>
      <c r="O36" s="13"/>
      <c r="AX36" s="658" t="str">
        <f>CountryCode &amp; ".T2.B9_OB.S1314.MNAC." &amp; RefVintage</f>
        <v>HU.T2.B9_OB.S1314.MNAC.S.2021</v>
      </c>
    </row>
    <row r="37" spans="1:50" ht="15.6">
      <c r="A37" s="176" t="s">
        <v>278</v>
      </c>
      <c r="B37" s="490" t="s">
        <v>990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HU.T2.B9_OB1.S1314.MNAC.S.2021</v>
      </c>
    </row>
    <row r="38" spans="1:50" ht="15.6">
      <c r="A38" s="176" t="s">
        <v>279</v>
      </c>
      <c r="B38" s="490" t="s">
        <v>991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HU.T2.B9_OB2.S1314.MNAC.S.2021</v>
      </c>
    </row>
    <row r="39" spans="1:50" ht="15.6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 ht="15.6">
      <c r="A40" s="340" t="s">
        <v>280</v>
      </c>
      <c r="B40" s="490" t="s">
        <v>1000</v>
      </c>
      <c r="C40" s="370" t="s">
        <v>49</v>
      </c>
      <c r="D40" s="150">
        <v>89693</v>
      </c>
      <c r="E40" s="150">
        <v>137503</v>
      </c>
      <c r="F40" s="150">
        <v>83988</v>
      </c>
      <c r="G40" s="150">
        <v>210923.13500000001</v>
      </c>
      <c r="H40" s="150">
        <v>0</v>
      </c>
      <c r="I40" s="137"/>
      <c r="J40" s="52"/>
      <c r="O40" s="13"/>
      <c r="AX40" s="658" t="str">
        <f>CountryCode &amp; ".T2.OA.S1314.MNAC." &amp; RefVintage</f>
        <v>HU.T2.OA.S1314.MNAC.S.2021</v>
      </c>
    </row>
    <row r="41" spans="1:50" ht="15.6">
      <c r="A41" s="176" t="s">
        <v>281</v>
      </c>
      <c r="B41" s="490" t="s">
        <v>1001</v>
      </c>
      <c r="C41" s="147" t="s">
        <v>1303</v>
      </c>
      <c r="D41" s="148">
        <v>89693</v>
      </c>
      <c r="E41" s="148">
        <v>137503</v>
      </c>
      <c r="F41" s="148">
        <v>83988</v>
      </c>
      <c r="G41" s="148">
        <v>210923.13500000001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HU.T2.OA1.S1314.MNAC.S.2021</v>
      </c>
    </row>
    <row r="42" spans="1:50" ht="15.6">
      <c r="A42" s="176" t="s">
        <v>282</v>
      </c>
      <c r="B42" s="490" t="s">
        <v>1002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".T2.OA2.S1314.MNAC." &amp; RefVintage</f>
        <v>HU.T2.OA2.S1314.MNAC.S.2021</v>
      </c>
    </row>
    <row r="43" spans="1:50" ht="15.6">
      <c r="A43" s="176" t="s">
        <v>283</v>
      </c>
      <c r="B43" s="490" t="s">
        <v>1003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HU.T2.OA3.S1314.MNAC.S.2021</v>
      </c>
    </row>
    <row r="44" spans="1:50" ht="16.2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6.8" thickTop="1" thickBot="1">
      <c r="A45" s="340" t="s">
        <v>284</v>
      </c>
      <c r="B45" s="490" t="s">
        <v>1009</v>
      </c>
      <c r="C45" s="180" t="s">
        <v>773</v>
      </c>
      <c r="D45" s="91">
        <v>-35881.042337000254</v>
      </c>
      <c r="E45" s="91">
        <v>76612.450634000008</v>
      </c>
      <c r="F45" s="91">
        <v>-136626</v>
      </c>
      <c r="G45" s="91">
        <v>-456203.30469699996</v>
      </c>
      <c r="H45" s="91">
        <v>-460008.20000000019</v>
      </c>
      <c r="I45" s="4"/>
      <c r="J45" s="51"/>
      <c r="O45" s="13"/>
      <c r="AX45" s="658" t="str">
        <f>CountryCode &amp; ".T2.B9.S1314.MNAC." &amp; RefVintage</f>
        <v>HU.T2.B9.S1314.MNAC.S.2021</v>
      </c>
    </row>
    <row r="46" spans="1:50" ht="16.2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6"/>
      <c r="I47" s="20"/>
      <c r="J47" s="52"/>
      <c r="K47" s="13"/>
    </row>
    <row r="48" spans="1:50" s="23" customFormat="1" ht="15.6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58"/>
    </row>
    <row r="49" spans="1:12" ht="24.6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2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3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3"/>
      <c r="F53" s="693"/>
      <c r="G53" s="693"/>
      <c r="H53" s="390"/>
      <c r="I53" s="378"/>
      <c r="J53" s="241"/>
    </row>
    <row r="54" spans="1:12" ht="15.6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1.6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 ht="15.6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 ht="15.6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 ht="15.6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 ht="15.6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4" colorId="22" zoomScale="80" zoomScaleNormal="80" zoomScaleSheetLayoutView="80" workbookViewId="0">
      <selection activeCell="G25" sqref="G25:G26"/>
    </sheetView>
  </sheetViews>
  <sheetFormatPr defaultColWidth="9.81640625" defaultRowHeight="15"/>
  <cols>
    <col min="1" max="1" width="11.36328125" style="30" hidden="1" customWidth="1"/>
    <col min="2" max="2" width="38.08984375" style="84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5.08984375" style="23" customWidth="1"/>
    <col min="11" max="11" width="3.6328125" style="23" customWidth="1"/>
    <col min="12" max="12" width="9.81640625" style="23"/>
    <col min="13" max="17" width="7.81640625" style="23" customWidth="1"/>
    <col min="18" max="27" width="9.81640625" style="23"/>
    <col min="29" max="49" width="9.81640625" style="23"/>
    <col min="50" max="50" width="7.81640625" style="658" customWidth="1"/>
    <col min="51" max="16384" width="9.8164062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1229</v>
      </c>
    </row>
    <row r="3" spans="1:50" ht="17.399999999999999">
      <c r="A3" s="334"/>
      <c r="B3" s="342"/>
      <c r="C3" s="343" t="s">
        <v>790</v>
      </c>
      <c r="D3" s="271"/>
      <c r="E3" s="377"/>
      <c r="F3" s="377"/>
      <c r="G3" s="377"/>
      <c r="H3" s="377"/>
      <c r="K3" s="13"/>
      <c r="N3" s="681">
        <f>IF($N$2='Cover page'!$N$2,0,1)</f>
        <v>0</v>
      </c>
    </row>
    <row r="4" spans="1:50" ht="16.2" thickBot="1">
      <c r="A4" s="334"/>
      <c r="B4" s="342"/>
      <c r="K4" s="13"/>
    </row>
    <row r="5" spans="1:50" ht="16.2" thickTop="1">
      <c r="A5" s="336"/>
      <c r="B5" s="420"/>
      <c r="C5" s="175"/>
      <c r="D5" s="40"/>
      <c r="E5" s="40"/>
      <c r="F5" s="40"/>
      <c r="G5" s="41"/>
      <c r="H5" s="41"/>
      <c r="I5" s="42"/>
      <c r="K5" s="13"/>
    </row>
    <row r="6" spans="1:50" ht="15.6">
      <c r="A6" s="282"/>
      <c r="B6" s="296"/>
      <c r="C6" s="272" t="str">
        <f>'Cover page'!E13</f>
        <v>Member State: Hungary</v>
      </c>
      <c r="D6" s="351"/>
      <c r="E6" s="694" t="s">
        <v>2</v>
      </c>
      <c r="F6" s="694"/>
      <c r="G6" s="352"/>
      <c r="H6" s="44"/>
      <c r="I6" s="52"/>
    </row>
    <row r="7" spans="1:50" ht="15.6">
      <c r="A7" s="282"/>
      <c r="B7" s="398" t="s">
        <v>1206</v>
      </c>
      <c r="C7" s="22" t="s">
        <v>1231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11/10/2021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0" t="s">
        <v>1011</v>
      </c>
      <c r="C10" s="374" t="s">
        <v>774</v>
      </c>
      <c r="D10" s="91">
        <v>965802.22523600177</v>
      </c>
      <c r="E10" s="91">
        <v>916477.62036599999</v>
      </c>
      <c r="F10" s="91">
        <v>998763.31412599992</v>
      </c>
      <c r="G10" s="92">
        <v>3822646.4479154283</v>
      </c>
      <c r="H10" s="4"/>
      <c r="I10" s="52"/>
      <c r="AX10" s="658" t="str">
        <f>CountryCode &amp; ".T3.B9.S13.MNAC." &amp; RefVintage</f>
        <v>HU.T3.B9.S13.MNAC.S.2021</v>
      </c>
    </row>
    <row r="11" spans="1:50" ht="6" customHeight="1" thickTop="1">
      <c r="A11" s="340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0" t="s">
        <v>1012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167809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539726</v>
      </c>
      <c r="F12" s="259">
        <f t="shared" si="0"/>
        <v>122808</v>
      </c>
      <c r="G12" s="259">
        <f t="shared" si="0"/>
        <v>2739208</v>
      </c>
      <c r="H12" s="108"/>
      <c r="I12" s="68"/>
      <c r="AX12" s="659" t="str">
        <f>CountryCode &amp; ".T3.FA.S13.MNAC." &amp; RefVintage</f>
        <v>HU.T3.FA.S13.MNAC.S.2021</v>
      </c>
    </row>
    <row r="13" spans="1:50" s="18" customFormat="1" ht="16.5" customHeight="1">
      <c r="A13" s="340" t="s">
        <v>287</v>
      </c>
      <c r="B13" s="490" t="s">
        <v>1013</v>
      </c>
      <c r="C13" s="428" t="s">
        <v>62</v>
      </c>
      <c r="D13" s="109">
        <v>-202289</v>
      </c>
      <c r="E13" s="109">
        <v>429787</v>
      </c>
      <c r="F13" s="109">
        <v>-261378</v>
      </c>
      <c r="G13" s="109">
        <v>2212778</v>
      </c>
      <c r="H13" s="108"/>
      <c r="I13" s="68"/>
      <c r="AX13" s="659" t="str">
        <f>CountryCode &amp; ".T3.F2.S13.MNAC." &amp; RefVintage</f>
        <v>HU.T3.F2.S13.MNAC.S.2021</v>
      </c>
    </row>
    <row r="14" spans="1:50" s="18" customFormat="1" ht="16.5" customHeight="1">
      <c r="A14" s="340" t="s">
        <v>288</v>
      </c>
      <c r="B14" s="490" t="s">
        <v>1014</v>
      </c>
      <c r="C14" s="428" t="s">
        <v>472</v>
      </c>
      <c r="D14" s="109">
        <v>-3179</v>
      </c>
      <c r="E14" s="109">
        <v>-9719</v>
      </c>
      <c r="F14" s="109">
        <v>-24984</v>
      </c>
      <c r="G14" s="109">
        <v>1407</v>
      </c>
      <c r="H14" s="108"/>
      <c r="I14" s="68"/>
      <c r="AX14" s="659" t="str">
        <f>CountryCode &amp; ".T3.F3.S13.MNAC." &amp; RefVintage</f>
        <v>HU.T3.F3.S13.MNAC.S.2021</v>
      </c>
    </row>
    <row r="15" spans="1:50" s="18" customFormat="1" ht="16.5" customHeight="1">
      <c r="A15" s="340" t="s">
        <v>289</v>
      </c>
      <c r="B15" s="490" t="s">
        <v>1015</v>
      </c>
      <c r="C15" s="428" t="s">
        <v>37</v>
      </c>
      <c r="D15" s="109">
        <v>126623</v>
      </c>
      <c r="E15" s="109">
        <v>28247</v>
      </c>
      <c r="F15" s="109">
        <v>85855</v>
      </c>
      <c r="G15" s="109">
        <v>288419</v>
      </c>
      <c r="H15" s="108"/>
      <c r="I15" s="68"/>
      <c r="AX15" s="659" t="str">
        <f>CountryCode &amp; ".T3.F4.S13.MNAC." &amp; RefVintage</f>
        <v>HU.T3.F4.S13.MNAC.S.2021</v>
      </c>
    </row>
    <row r="16" spans="1:50" s="18" customFormat="1" ht="16.5" customHeight="1">
      <c r="A16" s="340" t="s">
        <v>290</v>
      </c>
      <c r="B16" s="490" t="s">
        <v>1016</v>
      </c>
      <c r="C16" s="429" t="s">
        <v>87</v>
      </c>
      <c r="D16" s="110">
        <v>489837.64529400039</v>
      </c>
      <c r="E16" s="111">
        <v>418651.99196900008</v>
      </c>
      <c r="F16" s="111">
        <v>508271.50014620274</v>
      </c>
      <c r="G16" s="112">
        <v>739826.5160839539</v>
      </c>
      <c r="H16" s="108"/>
      <c r="I16" s="68"/>
      <c r="AX16" s="659" t="str">
        <f>CountryCode &amp; ".T3.F4ACQ.S13.MNAC." &amp; RefVintage</f>
        <v>HU.T3.F4ACQ.S13.MNAC.S.2021</v>
      </c>
    </row>
    <row r="17" spans="1:50" s="18" customFormat="1" ht="16.5" customHeight="1">
      <c r="A17" s="340" t="s">
        <v>291</v>
      </c>
      <c r="B17" s="490" t="s">
        <v>1017</v>
      </c>
      <c r="C17" s="429" t="s">
        <v>88</v>
      </c>
      <c r="D17" s="113">
        <v>-363214.64529400039</v>
      </c>
      <c r="E17" s="114">
        <v>-390404.99196900008</v>
      </c>
      <c r="F17" s="114">
        <v>-422416.50014620274</v>
      </c>
      <c r="G17" s="115">
        <v>-451407.5160839539</v>
      </c>
      <c r="H17" s="108"/>
      <c r="I17" s="68"/>
      <c r="AX17" s="659" t="str">
        <f>CountryCode &amp; ".T3.F4DIS.S13.MNAC." &amp; RefVintage</f>
        <v>HU.T3.F4DIS.S13.MNAC.S.2021</v>
      </c>
    </row>
    <row r="18" spans="1:50" s="18" customFormat="1" ht="16.5" customHeight="1">
      <c r="A18" s="340" t="s">
        <v>292</v>
      </c>
      <c r="B18" s="490" t="s">
        <v>1018</v>
      </c>
      <c r="C18" s="430" t="s">
        <v>443</v>
      </c>
      <c r="D18" s="109">
        <v>5019</v>
      </c>
      <c r="E18" s="109">
        <v>6711</v>
      </c>
      <c r="F18" s="109">
        <v>40643</v>
      </c>
      <c r="G18" s="109">
        <v>-56533</v>
      </c>
      <c r="H18" s="108"/>
      <c r="I18" s="68"/>
      <c r="AX18" s="659" t="str">
        <f>CountryCode &amp; ".T3.F41.S13.MNAC." &amp; RefVintage</f>
        <v>HU.T3.F41.S13.MNAC.S.2021</v>
      </c>
    </row>
    <row r="19" spans="1:50" s="18" customFormat="1" ht="16.5" customHeight="1">
      <c r="A19" s="340" t="s">
        <v>293</v>
      </c>
      <c r="B19" s="490" t="s">
        <v>1019</v>
      </c>
      <c r="C19" s="430" t="s">
        <v>444</v>
      </c>
      <c r="D19" s="109">
        <v>121604</v>
      </c>
      <c r="E19" s="109">
        <v>21536</v>
      </c>
      <c r="F19" s="109">
        <v>45212</v>
      </c>
      <c r="G19" s="109">
        <v>344952</v>
      </c>
      <c r="H19" s="108"/>
      <c r="I19" s="68"/>
      <c r="AX19" s="659" t="str">
        <f>CountryCode &amp; ".T3.F42.S13.MNAC." &amp; RefVintage</f>
        <v>HU.T3.F42.S13.MNAC.S.2021</v>
      </c>
    </row>
    <row r="20" spans="1:50" s="18" customFormat="1" ht="16.5" customHeight="1">
      <c r="A20" s="340" t="s">
        <v>294</v>
      </c>
      <c r="B20" s="490" t="s">
        <v>1020</v>
      </c>
      <c r="C20" s="431" t="s">
        <v>445</v>
      </c>
      <c r="D20" s="116">
        <v>489837.64529400005</v>
      </c>
      <c r="E20" s="117">
        <v>418651.99196899997</v>
      </c>
      <c r="F20" s="117">
        <v>508271.50014620321</v>
      </c>
      <c r="G20" s="118">
        <v>739826.51608395344</v>
      </c>
      <c r="H20" s="108"/>
      <c r="I20" s="68"/>
      <c r="AX20" s="659" t="str">
        <f>CountryCode &amp; ".T3.F42ACQ.S13.MNAC." &amp; RefVintage</f>
        <v>HU.T3.F42ACQ.S13.MNAC.S.2021</v>
      </c>
    </row>
    <row r="21" spans="1:50" s="18" customFormat="1" ht="16.5" customHeight="1">
      <c r="A21" s="340" t="s">
        <v>295</v>
      </c>
      <c r="B21" s="490" t="s">
        <v>1021</v>
      </c>
      <c r="C21" s="431" t="s">
        <v>446</v>
      </c>
      <c r="D21" s="119">
        <v>-368233.64529400005</v>
      </c>
      <c r="E21" s="120">
        <v>-397115.99196899997</v>
      </c>
      <c r="F21" s="120">
        <v>-463059.50014620321</v>
      </c>
      <c r="G21" s="121">
        <v>-394874.51608395344</v>
      </c>
      <c r="H21" s="108"/>
      <c r="I21" s="68"/>
      <c r="AX21" s="659" t="str">
        <f>CountryCode &amp; ".T3.F42DIS.S13.MNAC." &amp; RefVintage</f>
        <v>HU.T3.F42DIS.S13.MNAC.S.2021</v>
      </c>
    </row>
    <row r="22" spans="1:50" s="18" customFormat="1" ht="16.5" customHeight="1">
      <c r="A22" s="340" t="s">
        <v>296</v>
      </c>
      <c r="B22" s="490" t="s">
        <v>1022</v>
      </c>
      <c r="C22" s="428" t="s">
        <v>473</v>
      </c>
      <c r="D22" s="109">
        <v>37351</v>
      </c>
      <c r="E22" s="109">
        <v>-36298</v>
      </c>
      <c r="F22" s="109">
        <v>184914</v>
      </c>
      <c r="G22" s="109">
        <v>220122</v>
      </c>
      <c r="H22" s="108"/>
      <c r="I22" s="68"/>
      <c r="AX22" s="659" t="str">
        <f>CountryCode &amp; ".T3.F5.S13.MNAC." &amp; RefVintage</f>
        <v>HU.T3.F5.S13.MNAC.S.2021</v>
      </c>
    </row>
    <row r="23" spans="1:50" s="18" customFormat="1" ht="16.5" customHeight="1">
      <c r="A23" s="340" t="s">
        <v>297</v>
      </c>
      <c r="B23" s="490" t="s">
        <v>1023</v>
      </c>
      <c r="C23" s="430" t="s">
        <v>447</v>
      </c>
      <c r="D23" s="109">
        <v>22011</v>
      </c>
      <c r="E23" s="109">
        <v>11214</v>
      </c>
      <c r="F23" s="109">
        <v>56590</v>
      </c>
      <c r="G23" s="109">
        <v>21364</v>
      </c>
      <c r="H23" s="108"/>
      <c r="I23" s="68"/>
      <c r="AX23" s="659" t="str">
        <f>CountryCode &amp; ".T3.F5PN.S13.MNAC." &amp; RefVintage</f>
        <v>HU.T3.F5PN.S13.MNAC.S.2021</v>
      </c>
    </row>
    <row r="24" spans="1:50" s="18" customFormat="1" ht="16.5" customHeight="1">
      <c r="A24" s="340" t="s">
        <v>298</v>
      </c>
      <c r="B24" s="490" t="s">
        <v>1024</v>
      </c>
      <c r="C24" s="430" t="s">
        <v>474</v>
      </c>
      <c r="D24" s="109">
        <v>15340</v>
      </c>
      <c r="E24" s="109">
        <v>-47512</v>
      </c>
      <c r="F24" s="109">
        <v>128324</v>
      </c>
      <c r="G24" s="109">
        <v>198758</v>
      </c>
      <c r="H24" s="108"/>
      <c r="I24" s="68"/>
      <c r="AX24" s="659" t="str">
        <f>CountryCode &amp; ".T3.F5OP.S13.MNAC." &amp; RefVintage</f>
        <v>HU.T3.F5OP.S13.MNAC.S.2021</v>
      </c>
    </row>
    <row r="25" spans="1:50" s="18" customFormat="1" ht="16.5" customHeight="1">
      <c r="A25" s="340" t="s">
        <v>299</v>
      </c>
      <c r="B25" s="490" t="s">
        <v>1025</v>
      </c>
      <c r="C25" s="431" t="s">
        <v>445</v>
      </c>
      <c r="D25" s="122">
        <v>37832.566265999994</v>
      </c>
      <c r="E25" s="123">
        <v>10950</v>
      </c>
      <c r="F25" s="123">
        <v>272099</v>
      </c>
      <c r="G25" s="124">
        <v>642905.36</v>
      </c>
      <c r="H25" s="108"/>
      <c r="I25" s="68"/>
      <c r="AX25" s="659" t="str">
        <f>CountryCode &amp; ".T3.F5OPACQ.S13.MNAC." &amp; RefVintage</f>
        <v>HU.T3.F5OPACQ.S13.MNAC.S.2021</v>
      </c>
    </row>
    <row r="26" spans="1:50" s="18" customFormat="1" ht="16.5" customHeight="1" thickBot="1">
      <c r="A26" s="340" t="s">
        <v>300</v>
      </c>
      <c r="B26" s="490" t="s">
        <v>1026</v>
      </c>
      <c r="C26" s="431" t="s">
        <v>446</v>
      </c>
      <c r="D26" s="122">
        <v>-22492.566265999998</v>
      </c>
      <c r="E26" s="123">
        <v>-58462</v>
      </c>
      <c r="F26" s="123">
        <v>-143775</v>
      </c>
      <c r="G26" s="124">
        <v>-444147.36</v>
      </c>
      <c r="H26" s="108"/>
      <c r="I26" s="68"/>
      <c r="AX26" s="659" t="str">
        <f>CountryCode &amp; ".T3.F5OPDIS.S13.MNAC." &amp; RefVintage</f>
        <v>HU.T3.F5OPDIS.S13.MNAC.S.2021</v>
      </c>
    </row>
    <row r="27" spans="1:50" s="18" customFormat="1" ht="16.5" customHeight="1">
      <c r="A27" s="421" t="s">
        <v>490</v>
      </c>
      <c r="B27" s="596" t="s">
        <v>1027</v>
      </c>
      <c r="C27" s="428" t="s">
        <v>458</v>
      </c>
      <c r="D27" s="109">
        <v>-162561</v>
      </c>
      <c r="E27" s="109">
        <v>-92393</v>
      </c>
      <c r="F27" s="109">
        <v>-182437</v>
      </c>
      <c r="G27" s="109">
        <v>-258742.00000000003</v>
      </c>
      <c r="H27" s="108"/>
      <c r="I27" s="68"/>
      <c r="AX27" s="659" t="str">
        <f>CountryCode &amp; ".T3.F71.S13.MNAC." &amp; RefVintage</f>
        <v>HU.T3.F71.S13.MNAC.S.2021</v>
      </c>
    </row>
    <row r="28" spans="1:50" s="18" customFormat="1" ht="16.5" customHeight="1" thickBot="1">
      <c r="A28" s="422" t="s">
        <v>491</v>
      </c>
      <c r="B28" s="596" t="s">
        <v>1028</v>
      </c>
      <c r="C28" s="428" t="s">
        <v>461</v>
      </c>
      <c r="D28" s="109">
        <v>371902</v>
      </c>
      <c r="E28" s="109">
        <v>219880</v>
      </c>
      <c r="F28" s="109">
        <v>319396</v>
      </c>
      <c r="G28" s="109">
        <v>275146</v>
      </c>
      <c r="H28" s="108"/>
      <c r="I28" s="68"/>
      <c r="AX28" s="659" t="str">
        <f>CountryCode &amp; ".T3.F8.S13.MNAC." &amp; RefVintage</f>
        <v>HU.T3.F8.S13.MNAC.S.2021</v>
      </c>
    </row>
    <row r="29" spans="1:50" s="18" customFormat="1" ht="16.5" customHeight="1">
      <c r="A29" s="340" t="s">
        <v>301</v>
      </c>
      <c r="B29" s="490" t="s">
        <v>1029</v>
      </c>
      <c r="C29" s="428" t="s">
        <v>464</v>
      </c>
      <c r="D29" s="109">
        <v>-38</v>
      </c>
      <c r="E29" s="109">
        <v>222</v>
      </c>
      <c r="F29" s="109">
        <v>1442</v>
      </c>
      <c r="G29" s="109">
        <v>78</v>
      </c>
      <c r="H29" s="108"/>
      <c r="I29" s="68"/>
      <c r="AX29" s="659" t="str">
        <f>CountryCode &amp; ".T3.OFA.S13.MNAC." &amp; RefVintage</f>
        <v>HU.T3.OFA.S13.MNAC.S.2021</v>
      </c>
    </row>
    <row r="30" spans="1:50" s="18" customFormat="1" ht="16.5" customHeight="1">
      <c r="A30" s="340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302</v>
      </c>
      <c r="B31" s="490" t="s">
        <v>1030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92639.999999997788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184682.00000000154</v>
      </c>
      <c r="F31" s="436">
        <f t="shared" si="1"/>
        <v>41214.999999997613</v>
      </c>
      <c r="G31" s="436">
        <f t="shared" si="1"/>
        <v>723918.99999999953</v>
      </c>
      <c r="H31" s="108"/>
      <c r="I31" s="68"/>
      <c r="AX31" s="659" t="str">
        <f>CountryCode &amp; ".T3.ADJ.S13.MNAC." &amp; RefVintage</f>
        <v>HU.T3.ADJ.S13.MNAC.S.2021</v>
      </c>
    </row>
    <row r="32" spans="1:50" s="18" customFormat="1" ht="16.5" customHeight="1" thickBot="1">
      <c r="A32" s="340" t="s">
        <v>303</v>
      </c>
      <c r="B32" s="490" t="s">
        <v>1031</v>
      </c>
      <c r="C32" s="428" t="s">
        <v>475</v>
      </c>
      <c r="D32" s="109">
        <v>58561</v>
      </c>
      <c r="E32" s="109">
        <v>3577</v>
      </c>
      <c r="F32" s="109">
        <v>7904</v>
      </c>
      <c r="G32" s="109">
        <v>10987</v>
      </c>
      <c r="H32" s="108"/>
      <c r="I32" s="68"/>
      <c r="AX32" s="659" t="str">
        <f>CountryCode &amp; ".T3.LIA.S13.MNAC." &amp; RefVintage</f>
        <v>HU.T3.LIA.S13.MNAC.S.2021</v>
      </c>
    </row>
    <row r="33" spans="1:50" s="18" customFormat="1" ht="16.5" customHeight="1" thickBot="1">
      <c r="A33" s="322" t="s">
        <v>492</v>
      </c>
      <c r="B33" s="596" t="s">
        <v>1032</v>
      </c>
      <c r="C33" s="428" t="s">
        <v>462</v>
      </c>
      <c r="D33" s="109">
        <v>-67445</v>
      </c>
      <c r="E33" s="109">
        <v>-182470</v>
      </c>
      <c r="F33" s="109">
        <v>-159047</v>
      </c>
      <c r="G33" s="109">
        <v>-22034</v>
      </c>
      <c r="H33" s="108"/>
      <c r="I33" s="68"/>
      <c r="AX33" s="659" t="str">
        <f>CountryCode &amp; ".T3.OAP.S13.MNAC." &amp; RefVintage</f>
        <v>HU.T3.OAP.S13.MNAC.S.2021</v>
      </c>
    </row>
    <row r="34" spans="1:50" s="18" customFormat="1" ht="16.5" customHeight="1">
      <c r="A34" s="340" t="s">
        <v>304</v>
      </c>
      <c r="B34" s="490" t="s">
        <v>1033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-102466</v>
      </c>
      <c r="H34" s="108"/>
      <c r="I34" s="68"/>
      <c r="AX34" s="659" t="str">
        <f>CountryCode &amp; ".T3.OLIA.S13.MNAC." &amp; RefVintage</f>
        <v>HU.T3.OLIA.S13.MNAC.S.2021</v>
      </c>
    </row>
    <row r="35" spans="1:50" s="18" customFormat="1" ht="16.5" customHeight="1">
      <c r="A35" s="340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305</v>
      </c>
      <c r="B36" s="490" t="s">
        <v>1034</v>
      </c>
      <c r="C36" s="428" t="s">
        <v>68</v>
      </c>
      <c r="D36" s="109">
        <v>-36379.000000000124</v>
      </c>
      <c r="E36" s="109">
        <v>4609.0000000000819</v>
      </c>
      <c r="F36" s="109">
        <v>-184595.00000000009</v>
      </c>
      <c r="G36" s="109">
        <v>-9636.9999999999436</v>
      </c>
      <c r="H36" s="108"/>
      <c r="I36" s="68"/>
      <c r="AX36" s="659" t="str">
        <f>CountryCode &amp; ".T3.ISS_A.S13.MNAC." &amp; RefVintage</f>
        <v>HU.T3.ISS_A.S13.MNAC.S.2021</v>
      </c>
    </row>
    <row r="37" spans="1:50" s="18" customFormat="1" ht="16.5" customHeight="1">
      <c r="A37" s="340" t="s">
        <v>306</v>
      </c>
      <c r="B37" s="490" t="s">
        <v>1035</v>
      </c>
      <c r="C37" s="428" t="s">
        <v>477</v>
      </c>
      <c r="D37" s="109">
        <v>85522.252618419981</v>
      </c>
      <c r="E37" s="109">
        <v>41158.543681700008</v>
      </c>
      <c r="F37" s="109">
        <v>44996.416015509996</v>
      </c>
      <c r="G37" s="109">
        <v>-25007.076258100005</v>
      </c>
      <c r="H37" s="108"/>
      <c r="I37" s="68"/>
      <c r="AX37" s="659" t="str">
        <f>CountryCode &amp; ".T3.D41_A.S13.MNAC." &amp; RefVintage</f>
        <v>HU.T3.D41_A.S13.MNAC.S.2021</v>
      </c>
    </row>
    <row r="38" spans="1:50" s="237" customFormat="1" ht="16.5" customHeight="1">
      <c r="A38" s="340" t="s">
        <v>307</v>
      </c>
      <c r="B38" s="490" t="s">
        <v>1036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".T3.RED_A.S13.MNAC." &amp; RefVintage</f>
        <v>HU.T3.RED_A.S13.MNAC.S.2021</v>
      </c>
    </row>
    <row r="39" spans="1:50" s="18" customFormat="1" ht="16.5" customHeight="1">
      <c r="A39" s="340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308</v>
      </c>
      <c r="B40" s="490" t="s">
        <v>1037</v>
      </c>
      <c r="C40" s="428" t="s">
        <v>97</v>
      </c>
      <c r="D40" s="109">
        <v>-48092.481920422055</v>
      </c>
      <c r="E40" s="109">
        <v>272243.35737830144</v>
      </c>
      <c r="F40" s="109">
        <v>280375.76904248772</v>
      </c>
      <c r="G40" s="109">
        <v>833228.55165809952</v>
      </c>
      <c r="H40" s="108"/>
      <c r="I40" s="68"/>
      <c r="AX40" s="659" t="str">
        <f>CountryCode &amp; ".T3.FREV_A.S13.MNAC." &amp; RefVintage</f>
        <v>HU.T3.FREV_A.S13.MNAC.S.2021</v>
      </c>
    </row>
    <row r="41" spans="1:50" s="18" customFormat="1" ht="16.5" customHeight="1">
      <c r="A41" s="340" t="s">
        <v>516</v>
      </c>
      <c r="B41" s="490" t="s">
        <v>1038</v>
      </c>
      <c r="C41" s="428" t="s">
        <v>479</v>
      </c>
      <c r="D41" s="109">
        <v>3068.0000000000009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".T3.K61.S13.MNAC." &amp; RefVintage</f>
        <v>HU.T3.K61.S13.MNAC.S.2021</v>
      </c>
    </row>
    <row r="42" spans="1:50" s="18" customFormat="1" ht="16.5" customHeight="1">
      <c r="A42" s="340" t="s">
        <v>309</v>
      </c>
      <c r="B42" s="490" t="s">
        <v>1039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HU.T3.OCVO_A.S13.MNAC.S.2021</v>
      </c>
    </row>
    <row r="43" spans="1:50" s="18" customFormat="1" ht="16.5" customHeight="1">
      <c r="A43" s="340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1209</v>
      </c>
      <c r="B44" s="490" t="s">
        <v>1040</v>
      </c>
      <c r="C44" s="433" t="s">
        <v>65</v>
      </c>
      <c r="D44" s="109">
        <v>-4584.2252360019056</v>
      </c>
      <c r="E44" s="109">
        <v>7281.3796339998953</v>
      </c>
      <c r="F44" s="109">
        <v>-2940.3141259998156</v>
      </c>
      <c r="G44" s="109">
        <v>1263.5520845721476</v>
      </c>
      <c r="H44" s="108"/>
      <c r="I44" s="68"/>
      <c r="AX44" s="659" t="str">
        <f>CountryCode &amp; ".T3.SD.S13.MNAC." &amp; RefVintage</f>
        <v>HU.T3.SD.S13.MNAC.S.2021</v>
      </c>
    </row>
    <row r="45" spans="1:50" s="18" customFormat="1" ht="16.5" customHeight="1">
      <c r="A45" s="340" t="s">
        <v>1210</v>
      </c>
      <c r="B45" s="490" t="s">
        <v>1041</v>
      </c>
      <c r="C45" s="428" t="s">
        <v>75</v>
      </c>
      <c r="D45" s="109">
        <v>-4584.2252360019056</v>
      </c>
      <c r="E45" s="109">
        <v>7281.3796339998953</v>
      </c>
      <c r="F45" s="109">
        <v>-2940.3141259998156</v>
      </c>
      <c r="G45" s="109">
        <v>1263.5520845721476</v>
      </c>
      <c r="H45" s="108"/>
      <c r="I45" s="68"/>
      <c r="AX45" s="659" t="str">
        <f>CountryCode &amp; ".T3.B9_SD.S13.MNAC." &amp; RefVintage</f>
        <v>HU.T3.B9_SD.S13.MNAC.S.2021</v>
      </c>
    </row>
    <row r="46" spans="1:50" s="18" customFormat="1" ht="16.5" customHeight="1">
      <c r="A46" s="340" t="s">
        <v>1211</v>
      </c>
      <c r="B46" s="490" t="s">
        <v>1042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HU.T3.OSD.S13.MNAC.S.2021</v>
      </c>
    </row>
    <row r="47" spans="1:50" s="18" customFormat="1" ht="11.25" customHeight="1" thickBot="1">
      <c r="A47" s="340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40" t="s">
        <v>310</v>
      </c>
      <c r="B48" s="597" t="s">
        <v>1043</v>
      </c>
      <c r="C48" s="374" t="s">
        <v>100</v>
      </c>
      <c r="D48" s="94">
        <v>1221666.9999999977</v>
      </c>
      <c r="E48" s="94">
        <v>1648167.0000000014</v>
      </c>
      <c r="F48" s="94">
        <v>1159845.9999999977</v>
      </c>
      <c r="G48" s="95">
        <v>7287037</v>
      </c>
      <c r="H48" s="6"/>
      <c r="I48" s="68"/>
      <c r="AX48" s="659" t="str">
        <f>CountryCode &amp; ".T3.CHDEBT.S13.MNAC." &amp; RefVintage</f>
        <v>HU.T3.CHDEBT.S13.MNAC.S.2021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18.600000000000001" thickTop="1" thickBot="1">
      <c r="A50" s="168"/>
      <c r="B50" s="256"/>
      <c r="C50" s="423" t="s">
        <v>789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6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6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6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2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695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5"/>
      <c r="F59" s="695"/>
      <c r="G59" s="695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6">
      <c r="C61" s="380" t="s">
        <v>1207</v>
      </c>
      <c r="D61" s="381">
        <f>IF(D48="M",0,D48)-IF(D10="M",0,D10)-IF(D12="M",0,D12)-IF(D31="M",0,D31)-IF(D44="M",0,D44)</f>
        <v>1.546140993013978E-11</v>
      </c>
      <c r="E61" s="381">
        <f>IF(E48="M",0,E48)-IF(E10="M",0,E10)-IF(E12="M",0,E12)-IF(E31="M",0,E31)-IF(E44="M",0,E44)</f>
        <v>-2.9103830456733704E-11</v>
      </c>
      <c r="F61" s="381">
        <f>IF(F48="M",0,F48)-IF(F10="M",0,F10)-IF(F12="M",0,F12)-IF(F31="M",0,F31)-IF(F44="M",0,F44)</f>
        <v>-5.0931703299283981E-11</v>
      </c>
      <c r="G61" s="381">
        <f>IF(G48="M",0,G48)-IF(G10="M",0,G10)-IF(G12="M",0,G12)-IF(G31="M",0,G31)-IF(G44="M",0,G44)</f>
        <v>0</v>
      </c>
      <c r="H61" s="437"/>
      <c r="I61" s="244"/>
      <c r="J61" s="29"/>
    </row>
    <row r="62" spans="1:50" ht="15.6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37"/>
      <c r="I62" s="244"/>
      <c r="J62" s="29"/>
    </row>
    <row r="63" spans="1:50" ht="15.6">
      <c r="C63" s="439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37"/>
      <c r="I63" s="244"/>
      <c r="J63" s="29"/>
    </row>
    <row r="64" spans="1:50" ht="15.6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37"/>
      <c r="I64" s="244"/>
      <c r="J64" s="29"/>
    </row>
    <row r="65" spans="3:10" ht="15.6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37"/>
      <c r="I65" s="244"/>
      <c r="J65" s="29"/>
    </row>
    <row r="66" spans="3:10" ht="15.6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37"/>
      <c r="I66" s="244"/>
      <c r="J66" s="29"/>
    </row>
    <row r="67" spans="3:10" ht="15.6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37"/>
      <c r="I67" s="244"/>
      <c r="J67" s="29"/>
    </row>
    <row r="68" spans="3:10" ht="21.6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-1.546140993013978E-11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0</v>
      </c>
      <c r="F68" s="381">
        <f t="shared" si="3"/>
        <v>-7.2759576141834259E-12</v>
      </c>
      <c r="G68" s="381">
        <f t="shared" si="3"/>
        <v>0</v>
      </c>
      <c r="H68" s="437"/>
      <c r="I68" s="244"/>
      <c r="J68" s="29"/>
    </row>
    <row r="69" spans="3:10" ht="15.6">
      <c r="C69" s="380" t="s">
        <v>1212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6">
      <c r="C70" s="383" t="s">
        <v>129</v>
      </c>
      <c r="D70" s="246"/>
      <c r="E70" s="246"/>
      <c r="F70" s="246"/>
      <c r="G70" s="246"/>
      <c r="H70" s="243"/>
      <c r="I70" s="244"/>
    </row>
    <row r="71" spans="3:10" ht="15.6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6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6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21.6">
      <c r="C74" s="678" t="s">
        <v>1208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-1.1641532182693481E-10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56" t="s">
        <v>1213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-2.4010660126805305E-10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-1.1641532182693481E-10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2.3283064365386963E-10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10" colorId="22" zoomScale="80" zoomScaleNormal="80" zoomScaleSheetLayoutView="80" workbookViewId="0">
      <selection activeCell="G25" sqref="G25:G26"/>
    </sheetView>
  </sheetViews>
  <sheetFormatPr defaultColWidth="9.81640625" defaultRowHeight="15"/>
  <cols>
    <col min="1" max="1" width="12.1796875" style="30" hidden="1" customWidth="1"/>
    <col min="2" max="2" width="40.54296875" style="20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6" width="5.81640625" style="23" customWidth="1"/>
    <col min="17" max="27" width="9.81640625" style="23"/>
    <col min="29" max="49" width="9.81640625" style="23"/>
    <col min="50" max="50" width="5.81640625" style="658" customWidth="1"/>
    <col min="51" max="16384" width="9.81640625" style="23"/>
  </cols>
  <sheetData>
    <row r="1" spans="1:50">
      <c r="A1" s="334"/>
      <c r="B1" s="268"/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A2" s="334"/>
      <c r="B2" s="334" t="s">
        <v>36</v>
      </c>
      <c r="C2" s="343" t="s">
        <v>796</v>
      </c>
      <c r="D2" s="271"/>
      <c r="E2" s="377"/>
      <c r="F2" s="377"/>
      <c r="G2" s="377"/>
      <c r="K2" s="13"/>
      <c r="N2" s="679" t="s">
        <v>1229</v>
      </c>
    </row>
    <row r="3" spans="1:50" ht="17.399999999999999">
      <c r="A3" s="334"/>
      <c r="B3" s="334"/>
      <c r="C3" s="343" t="s">
        <v>58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A4" s="334"/>
      <c r="B4" s="334"/>
      <c r="C4" s="418"/>
      <c r="D4" s="441"/>
      <c r="E4" s="377"/>
      <c r="F4" s="377"/>
      <c r="G4" s="377"/>
      <c r="K4" s="13"/>
    </row>
    <row r="5" spans="1:50" ht="16.2" thickTop="1">
      <c r="A5" s="336"/>
      <c r="B5" s="397"/>
      <c r="C5" s="347"/>
      <c r="D5" s="348"/>
      <c r="E5" s="348"/>
      <c r="F5" s="348"/>
      <c r="G5" s="349"/>
      <c r="H5" s="41"/>
      <c r="I5" s="42"/>
      <c r="K5" s="13"/>
    </row>
    <row r="6" spans="1:50" ht="15.6">
      <c r="A6" s="282"/>
      <c r="B6" s="279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1231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11/10/2021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6.2" thickTop="1" thickBot="1">
      <c r="A10" s="340" t="s">
        <v>311</v>
      </c>
      <c r="B10" s="490" t="s">
        <v>1044</v>
      </c>
      <c r="C10" s="374" t="s">
        <v>775</v>
      </c>
      <c r="D10" s="91">
        <v>950459.2643570014</v>
      </c>
      <c r="E10" s="91">
        <v>1023016.071</v>
      </c>
      <c r="F10" s="91">
        <v>819476.57395899994</v>
      </c>
      <c r="G10" s="92">
        <v>3393249.1774084223</v>
      </c>
      <c r="H10" s="4"/>
      <c r="I10" s="52"/>
      <c r="AX10" s="658" t="str">
        <f>CountryCode &amp; ".T3.B9.S1311.MNAC." &amp; RefVintage</f>
        <v>HU.T3.B9.S1311.MNAC.S.2021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0" t="s">
        <v>1045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393257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787683</v>
      </c>
      <c r="F12" s="259">
        <f t="shared" si="0"/>
        <v>126560</v>
      </c>
      <c r="G12" s="259">
        <f t="shared" si="0"/>
        <v>3055513</v>
      </c>
      <c r="H12" s="108"/>
      <c r="I12" s="68"/>
      <c r="AX12" s="659" t="str">
        <f>CountryCode &amp; ".T3.FA.S1311.MNAC." &amp; RefVintage</f>
        <v>HU.T3.FA.S1311.MNAC.S.2021</v>
      </c>
    </row>
    <row r="13" spans="1:50" s="18" customFormat="1" ht="16.5" customHeight="1">
      <c r="A13" s="340" t="s">
        <v>313</v>
      </c>
      <c r="B13" s="490" t="s">
        <v>1046</v>
      </c>
      <c r="C13" s="428" t="s">
        <v>62</v>
      </c>
      <c r="D13" s="109">
        <v>-449396</v>
      </c>
      <c r="E13" s="109">
        <v>575081</v>
      </c>
      <c r="F13" s="109">
        <v>-290156</v>
      </c>
      <c r="G13" s="109">
        <v>2155738</v>
      </c>
      <c r="H13" s="108"/>
      <c r="I13" s="68"/>
      <c r="AX13" s="659" t="str">
        <f>CountryCode &amp; ".T3.F2.S1311.MNAC." &amp; RefVintage</f>
        <v>HU.T3.F2.S1311.MNAC.S.2021</v>
      </c>
    </row>
    <row r="14" spans="1:50" s="18" customFormat="1" ht="16.5" customHeight="1">
      <c r="A14" s="340" t="s">
        <v>314</v>
      </c>
      <c r="B14" s="490" t="s">
        <v>1047</v>
      </c>
      <c r="C14" s="428" t="s">
        <v>472</v>
      </c>
      <c r="D14" s="109">
        <v>-2103</v>
      </c>
      <c r="E14" s="109">
        <v>-9994</v>
      </c>
      <c r="F14" s="109">
        <v>-23654</v>
      </c>
      <c r="G14" s="109">
        <v>1755</v>
      </c>
      <c r="H14" s="108"/>
      <c r="I14" s="68"/>
      <c r="AX14" s="659" t="str">
        <f>CountryCode &amp; ".T3.F3.S1311.MNAC." &amp; RefVintage</f>
        <v>HU.T3.F3.S1311.MNAC.S.2021</v>
      </c>
    </row>
    <row r="15" spans="1:50" s="18" customFormat="1" ht="16.5" customHeight="1">
      <c r="A15" s="340" t="s">
        <v>315</v>
      </c>
      <c r="B15" s="490" t="s">
        <v>1048</v>
      </c>
      <c r="C15" s="428" t="s">
        <v>37</v>
      </c>
      <c r="D15" s="109">
        <v>183570</v>
      </c>
      <c r="E15" s="109">
        <v>-24540</v>
      </c>
      <c r="F15" s="109">
        <v>218643</v>
      </c>
      <c r="G15" s="109">
        <v>729353</v>
      </c>
      <c r="H15" s="108"/>
      <c r="I15" s="68"/>
      <c r="AX15" s="659" t="str">
        <f>CountryCode &amp; ".T3.F4.S1311.MNAC." &amp; RefVintage</f>
        <v>HU.T3.F4.S1311.MNAC.S.2021</v>
      </c>
    </row>
    <row r="16" spans="1:50" s="18" customFormat="1" ht="16.5" customHeight="1">
      <c r="A16" s="340" t="s">
        <v>316</v>
      </c>
      <c r="B16" s="490" t="s">
        <v>1049</v>
      </c>
      <c r="C16" s="429" t="s">
        <v>56</v>
      </c>
      <c r="D16" s="110">
        <v>4788979.2776540015</v>
      </c>
      <c r="E16" s="111">
        <v>4140192.4447240001</v>
      </c>
      <c r="F16" s="111">
        <v>5090996.6301022023</v>
      </c>
      <c r="G16" s="112">
        <v>6649893.3100329544</v>
      </c>
      <c r="H16" s="108"/>
      <c r="I16" s="68"/>
      <c r="AX16" s="659" t="str">
        <f>CountryCode &amp; ".T3.F4ACQ.S1311.MNAC." &amp; RefVintage</f>
        <v>HU.T3.F4ACQ.S1311.MNAC.S.2021</v>
      </c>
    </row>
    <row r="17" spans="1:50" s="18" customFormat="1" ht="16.5" customHeight="1">
      <c r="A17" s="340" t="s">
        <v>317</v>
      </c>
      <c r="B17" s="490" t="s">
        <v>1050</v>
      </c>
      <c r="C17" s="429" t="s">
        <v>57</v>
      </c>
      <c r="D17" s="113">
        <v>-4605409.2776540015</v>
      </c>
      <c r="E17" s="114">
        <v>-4164732.4447240001</v>
      </c>
      <c r="F17" s="114">
        <v>-4872353.6301022023</v>
      </c>
      <c r="G17" s="115">
        <v>-5920540.3100329544</v>
      </c>
      <c r="H17" s="108"/>
      <c r="I17" s="68"/>
      <c r="AX17" s="659" t="str">
        <f>CountryCode &amp; ".T3.F4DIS.S1311.MNAC." &amp; RefVintage</f>
        <v>HU.T3.F4DIS.S1311.MNAC.S.2021</v>
      </c>
    </row>
    <row r="18" spans="1:50" s="18" customFormat="1" ht="16.5" customHeight="1">
      <c r="A18" s="340" t="s">
        <v>318</v>
      </c>
      <c r="B18" s="490" t="s">
        <v>1051</v>
      </c>
      <c r="C18" s="430" t="s">
        <v>89</v>
      </c>
      <c r="D18" s="109">
        <v>47509</v>
      </c>
      <c r="E18" s="109">
        <v>-53844</v>
      </c>
      <c r="F18" s="109">
        <v>170811</v>
      </c>
      <c r="G18" s="109">
        <v>382096</v>
      </c>
      <c r="H18" s="108"/>
      <c r="I18" s="68"/>
      <c r="AX18" s="659" t="str">
        <f>CountryCode &amp; ".T3.F41.S1311.MNAC." &amp; RefVintage</f>
        <v>HU.T3.F41.S1311.MNAC.S.2021</v>
      </c>
    </row>
    <row r="19" spans="1:50" s="18" customFormat="1" ht="16.5" customHeight="1">
      <c r="A19" s="340" t="s">
        <v>319</v>
      </c>
      <c r="B19" s="490" t="s">
        <v>1052</v>
      </c>
      <c r="C19" s="430" t="s">
        <v>84</v>
      </c>
      <c r="D19" s="109">
        <v>136061</v>
      </c>
      <c r="E19" s="109">
        <v>29304</v>
      </c>
      <c r="F19" s="109">
        <v>47832</v>
      </c>
      <c r="G19" s="109">
        <v>347257</v>
      </c>
      <c r="H19" s="108"/>
      <c r="I19" s="68"/>
      <c r="AX19" s="659" t="str">
        <f>CountryCode &amp; ".T3.F42.S1311.MNAC." &amp; RefVintage</f>
        <v>HU.T3.F42.S1311.MNAC.S.2021</v>
      </c>
    </row>
    <row r="20" spans="1:50" s="18" customFormat="1" ht="16.5" customHeight="1">
      <c r="A20" s="340" t="s">
        <v>320</v>
      </c>
      <c r="B20" s="490" t="s">
        <v>1053</v>
      </c>
      <c r="C20" s="431" t="s">
        <v>80</v>
      </c>
      <c r="D20" s="116">
        <v>494674.75965400005</v>
      </c>
      <c r="E20" s="117">
        <v>413594.52672399994</v>
      </c>
      <c r="F20" s="117">
        <v>502166.0511022032</v>
      </c>
      <c r="G20" s="118">
        <v>732577.09103295347</v>
      </c>
      <c r="H20" s="108"/>
      <c r="I20" s="68"/>
      <c r="AX20" s="659" t="str">
        <f>CountryCode &amp; ".T3.F42ACQ.S1311.MNAC." &amp; RefVintage</f>
        <v>HU.T3.F42ACQ.S1311.MNAC.S.2021</v>
      </c>
    </row>
    <row r="21" spans="1:50" s="18" customFormat="1" ht="16.5" customHeight="1">
      <c r="A21" s="340" t="s">
        <v>321</v>
      </c>
      <c r="B21" s="490" t="s">
        <v>1054</v>
      </c>
      <c r="C21" s="431" t="s">
        <v>81</v>
      </c>
      <c r="D21" s="119">
        <v>-358613.75965400005</v>
      </c>
      <c r="E21" s="120">
        <v>-384290.52672399994</v>
      </c>
      <c r="F21" s="120">
        <v>-454334.0511022032</v>
      </c>
      <c r="G21" s="121">
        <v>-385320.09103295347</v>
      </c>
      <c r="H21" s="108"/>
      <c r="I21" s="68"/>
      <c r="AX21" s="659" t="str">
        <f>CountryCode &amp; ".T3.F42DIS.S1311.MNAC." &amp; RefVintage</f>
        <v>HU.T3.F42DIS.S1311.MNAC.S.2021</v>
      </c>
    </row>
    <row r="22" spans="1:50" s="18" customFormat="1" ht="16.5" customHeight="1">
      <c r="A22" s="340" t="s">
        <v>322</v>
      </c>
      <c r="B22" s="490" t="s">
        <v>1055</v>
      </c>
      <c r="C22" s="428" t="s">
        <v>473</v>
      </c>
      <c r="D22" s="109">
        <v>25651</v>
      </c>
      <c r="E22" s="109">
        <v>-32387</v>
      </c>
      <c r="F22" s="109">
        <v>180084</v>
      </c>
      <c r="G22" s="109">
        <v>217729</v>
      </c>
      <c r="H22" s="108"/>
      <c r="I22" s="68"/>
      <c r="AX22" s="659" t="str">
        <f>CountryCode &amp; ".T3.F5.S1311.MNAC." &amp; RefVintage</f>
        <v>HU.T3.F5.S1311.MNAC.S.2021</v>
      </c>
    </row>
    <row r="23" spans="1:50" s="18" customFormat="1" ht="16.5" customHeight="1">
      <c r="A23" s="340" t="s">
        <v>323</v>
      </c>
      <c r="B23" s="490" t="s">
        <v>1056</v>
      </c>
      <c r="C23" s="430" t="s">
        <v>96</v>
      </c>
      <c r="D23" s="109">
        <v>8407</v>
      </c>
      <c r="E23" s="109">
        <v>12914</v>
      </c>
      <c r="F23" s="109">
        <v>50685</v>
      </c>
      <c r="G23" s="109">
        <v>17295</v>
      </c>
      <c r="H23" s="108"/>
      <c r="I23" s="68"/>
      <c r="AX23" s="659" t="str">
        <f>CountryCode &amp; ".T3.F5PN.S1311.MNAC." &amp; RefVintage</f>
        <v>HU.T3.F5PN.S1311.MNAC.S.2021</v>
      </c>
    </row>
    <row r="24" spans="1:50" s="18" customFormat="1" ht="16.5" customHeight="1">
      <c r="A24" s="340" t="s">
        <v>324</v>
      </c>
      <c r="B24" s="490" t="s">
        <v>1057</v>
      </c>
      <c r="C24" s="430" t="s">
        <v>474</v>
      </c>
      <c r="D24" s="109">
        <v>17244</v>
      </c>
      <c r="E24" s="109">
        <v>-45301</v>
      </c>
      <c r="F24" s="109">
        <v>129399</v>
      </c>
      <c r="G24" s="109">
        <v>200434</v>
      </c>
      <c r="H24" s="108"/>
      <c r="I24" s="68"/>
      <c r="AX24" s="659" t="str">
        <f>CountryCode &amp; ".T3.F5OP.S1311.MNAC." &amp; RefVintage</f>
        <v>HU.T3.F5OP.S1311.MNAC.S.2021</v>
      </c>
    </row>
    <row r="25" spans="1:50" s="18" customFormat="1" ht="16.5" customHeight="1">
      <c r="A25" s="340" t="s">
        <v>325</v>
      </c>
      <c r="B25" s="490" t="s">
        <v>1058</v>
      </c>
      <c r="C25" s="431" t="s">
        <v>85</v>
      </c>
      <c r="D25" s="122">
        <v>35772.660000000003</v>
      </c>
      <c r="E25" s="123">
        <v>7351</v>
      </c>
      <c r="F25" s="123">
        <v>268861</v>
      </c>
      <c r="G25" s="124">
        <v>630540</v>
      </c>
      <c r="H25" s="108"/>
      <c r="I25" s="68"/>
      <c r="AX25" s="659" t="str">
        <f>CountryCode &amp; ".T3.F5OPACQ.S1311.MNAC." &amp; RefVintage</f>
        <v>HU.T3.F5OPACQ.S1311.MNAC.S.2021</v>
      </c>
    </row>
    <row r="26" spans="1:50" s="18" customFormat="1" ht="16.5" customHeight="1" thickBot="1">
      <c r="A26" s="340" t="s">
        <v>326</v>
      </c>
      <c r="B26" s="490" t="s">
        <v>1059</v>
      </c>
      <c r="C26" s="431" t="s">
        <v>86</v>
      </c>
      <c r="D26" s="122">
        <v>-18528.66</v>
      </c>
      <c r="E26" s="123">
        <v>-52652</v>
      </c>
      <c r="F26" s="123">
        <v>-139462</v>
      </c>
      <c r="G26" s="124">
        <v>-430106</v>
      </c>
      <c r="H26" s="108"/>
      <c r="I26" s="68"/>
      <c r="AX26" s="659" t="str">
        <f>CountryCode &amp; ".T3.F5OPDIS.S1311.MNAC." &amp; RefVintage</f>
        <v>HU.T3.F5OPDIS.S1311.MNAC.S.2021</v>
      </c>
    </row>
    <row r="27" spans="1:50" s="18" customFormat="1" ht="16.5" customHeight="1">
      <c r="A27" s="421" t="s">
        <v>501</v>
      </c>
      <c r="B27" s="490" t="s">
        <v>1060</v>
      </c>
      <c r="C27" s="428" t="s">
        <v>458</v>
      </c>
      <c r="D27" s="109">
        <v>-162561</v>
      </c>
      <c r="E27" s="109">
        <v>-92401</v>
      </c>
      <c r="F27" s="109">
        <v>-182437</v>
      </c>
      <c r="G27" s="109">
        <v>-258742.00000000003</v>
      </c>
      <c r="H27" s="108"/>
      <c r="I27" s="68"/>
      <c r="AX27" s="659" t="str">
        <f>CountryCode &amp; ".T3.F71.S1311.MNAC." &amp; RefVintage</f>
        <v>HU.T3.F71.S1311.MNAC.S.2021</v>
      </c>
    </row>
    <row r="28" spans="1:50" s="18" customFormat="1" ht="16.5" customHeight="1" thickBot="1">
      <c r="A28" s="422" t="s">
        <v>500</v>
      </c>
      <c r="B28" s="490" t="s">
        <v>1061</v>
      </c>
      <c r="C28" s="428" t="s">
        <v>461</v>
      </c>
      <c r="D28" s="109">
        <v>798115</v>
      </c>
      <c r="E28" s="109">
        <v>371813</v>
      </c>
      <c r="F28" s="109">
        <v>223359</v>
      </c>
      <c r="G28" s="109">
        <v>209641</v>
      </c>
      <c r="H28" s="108"/>
      <c r="I28" s="68"/>
      <c r="AX28" s="659" t="str">
        <f>CountryCode &amp; ".T3.F8.S1311.MNAC." &amp; RefVintage</f>
        <v>HU.T3.F8.S1311.MNAC.S.2021</v>
      </c>
    </row>
    <row r="29" spans="1:50" s="18" customFormat="1" ht="16.5" customHeight="1">
      <c r="A29" s="340" t="s">
        <v>493</v>
      </c>
      <c r="B29" s="490" t="s">
        <v>1062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39</v>
      </c>
      <c r="H29" s="108"/>
      <c r="I29" s="68"/>
      <c r="AX29" s="659" t="str">
        <f>CountryCode &amp; ".T3.OFA.S1311.MNAC." &amp; RefVintage</f>
        <v>HU.T3.OFA.S1311.MNAC.S.2021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327</v>
      </c>
      <c r="B31" s="490" t="s">
        <v>1063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130142.99999999991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180262.00000000006</v>
      </c>
      <c r="F31" s="436">
        <f t="shared" si="1"/>
        <v>61016.000000000058</v>
      </c>
      <c r="G31" s="436">
        <f t="shared" si="1"/>
        <v>685958.99999999953</v>
      </c>
      <c r="H31" s="108"/>
      <c r="I31" s="68"/>
      <c r="AX31" s="659" t="str">
        <f>CountryCode &amp; ".T3.ADJ.S1311.MNAC." &amp; RefVintage</f>
        <v>HU.T3.ADJ.S1311.MNAC.S.2021</v>
      </c>
    </row>
    <row r="32" spans="1:50" s="18" customFormat="1" ht="16.5" customHeight="1" thickBot="1">
      <c r="A32" s="340" t="s">
        <v>328</v>
      </c>
      <c r="B32" s="490" t="s">
        <v>1064</v>
      </c>
      <c r="C32" s="428" t="s">
        <v>475</v>
      </c>
      <c r="D32" s="109">
        <v>58561</v>
      </c>
      <c r="E32" s="109">
        <v>3568</v>
      </c>
      <c r="F32" s="109">
        <v>7904</v>
      </c>
      <c r="G32" s="109">
        <v>10987</v>
      </c>
      <c r="H32" s="108"/>
      <c r="I32" s="68"/>
      <c r="AX32" s="659" t="str">
        <f>CountryCode &amp; ".T3.LIA.S1311.MNAC." &amp; RefVintage</f>
        <v>HU.T3.LIA.S1311.MNAC.S.2021</v>
      </c>
    </row>
    <row r="33" spans="1:50" s="18" customFormat="1" ht="16.5" customHeight="1" thickBot="1">
      <c r="A33" s="322" t="s">
        <v>502</v>
      </c>
      <c r="B33" s="490" t="s">
        <v>1065</v>
      </c>
      <c r="C33" s="428" t="s">
        <v>462</v>
      </c>
      <c r="D33" s="109">
        <v>-28176</v>
      </c>
      <c r="E33" s="109">
        <v>-187068</v>
      </c>
      <c r="F33" s="109">
        <v>-138725</v>
      </c>
      <c r="G33" s="109">
        <v>-62675</v>
      </c>
      <c r="H33" s="108"/>
      <c r="I33" s="68"/>
      <c r="AX33" s="659" t="str">
        <f>CountryCode &amp; ".T3.OAP.S1311.MNAC." &amp; RefVintage</f>
        <v>HU.T3.OAP.S1311.MNAC.S.2021</v>
      </c>
    </row>
    <row r="34" spans="1:50" s="18" customFormat="1" ht="16.5" customHeight="1">
      <c r="A34" s="340" t="s">
        <v>329</v>
      </c>
      <c r="B34" s="490" t="s">
        <v>1066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-102466</v>
      </c>
      <c r="H34" s="108"/>
      <c r="I34" s="68"/>
      <c r="AX34" s="659" t="str">
        <f>CountryCode &amp; ".T3.OLIA.S1311.MNAC." &amp; RefVintage</f>
        <v>HU.T3.OLIA.S1311.MNAC.S.2021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330</v>
      </c>
      <c r="B36" s="490" t="s">
        <v>1067</v>
      </c>
      <c r="C36" s="428" t="s">
        <v>68</v>
      </c>
      <c r="D36" s="109">
        <v>-33886.000000000044</v>
      </c>
      <c r="E36" s="109">
        <v>1661.0000000000298</v>
      </c>
      <c r="F36" s="109">
        <v>-184539.00000000003</v>
      </c>
      <c r="G36" s="109">
        <v>-9663.0000000000109</v>
      </c>
      <c r="H36" s="108"/>
      <c r="I36" s="68"/>
      <c r="AX36" s="659" t="str">
        <f>CountryCode &amp; ".T3.ISS_A.S1311.MNAC." &amp; RefVintage</f>
        <v>HU.T3.ISS_A.S1311.MNAC.S.2021</v>
      </c>
    </row>
    <row r="37" spans="1:50" s="18" customFormat="1" ht="16.5" customHeight="1">
      <c r="A37" s="340" t="s">
        <v>331</v>
      </c>
      <c r="B37" s="490" t="s">
        <v>1068</v>
      </c>
      <c r="C37" s="428" t="s">
        <v>477</v>
      </c>
      <c r="D37" s="109">
        <v>82301.25261842004</v>
      </c>
      <c r="E37" s="109">
        <v>41917.543681699965</v>
      </c>
      <c r="F37" s="109">
        <v>45237.416015510033</v>
      </c>
      <c r="G37" s="109">
        <v>-23316.076258100005</v>
      </c>
      <c r="H37" s="108"/>
      <c r="I37" s="68"/>
      <c r="AX37" s="659" t="str">
        <f>CountryCode &amp; ".T3.D41_A.S1311.MNAC." &amp; RefVintage</f>
        <v>HU.T3.D41_A.S1311.MNAC.S.2021</v>
      </c>
    </row>
    <row r="38" spans="1:50" s="18" customFormat="1" ht="16.5" customHeight="1">
      <c r="A38" s="340" t="s">
        <v>332</v>
      </c>
      <c r="B38" s="490" t="s">
        <v>1069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".T3.RED_A.S1311.MNAC." &amp; RefVintage</f>
        <v>HU.T3.RED_A.S1311.MNAC.S.2021</v>
      </c>
    </row>
    <row r="39" spans="1:50" s="18" customFormat="1" ht="16.5" customHeight="1">
      <c r="A39" s="340"/>
      <c r="B39" s="167"/>
      <c r="C39" s="434"/>
      <c r="D39" s="128">
        <v>1.2951204553246498E-9</v>
      </c>
      <c r="E39" s="129">
        <v>-3.3760443329811096E-9</v>
      </c>
      <c r="F39" s="129">
        <v>3.0850060284137726E-9</v>
      </c>
      <c r="G39" s="130">
        <v>-4.3073669075965881E-9</v>
      </c>
      <c r="H39" s="108"/>
      <c r="I39" s="68"/>
      <c r="AX39" s="659"/>
    </row>
    <row r="40" spans="1:50" s="18" customFormat="1" ht="16.5" customHeight="1">
      <c r="A40" s="340" t="s">
        <v>333</v>
      </c>
      <c r="B40" s="490" t="s">
        <v>1070</v>
      </c>
      <c r="C40" s="428" t="s">
        <v>97</v>
      </c>
      <c r="D40" s="109">
        <v>-51487.481920420076</v>
      </c>
      <c r="E40" s="109">
        <v>274619.35737830005</v>
      </c>
      <c r="F40" s="109">
        <v>279557.76904249005</v>
      </c>
      <c r="G40" s="109">
        <v>834244.55165809952</v>
      </c>
      <c r="H40" s="108"/>
      <c r="I40" s="68"/>
      <c r="AX40" s="659" t="str">
        <f>CountryCode &amp; ".T3.FREV_A.S1311.MNAC." &amp; RefVintage</f>
        <v>HU.T3.FREV_A.S1311.MNAC.S.2021</v>
      </c>
    </row>
    <row r="41" spans="1:50" s="18" customFormat="1" ht="16.5" customHeight="1">
      <c r="A41" s="340" t="s">
        <v>517</v>
      </c>
      <c r="B41" s="490" t="s">
        <v>1071</v>
      </c>
      <c r="C41" s="428" t="s">
        <v>479</v>
      </c>
      <c r="D41" s="109">
        <v>5425.0000000000009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".T3.K61.S1311.MNAC." &amp; RefVintage</f>
        <v>HU.T3.K61.S1311.MNAC.S.2021</v>
      </c>
    </row>
    <row r="42" spans="1:50" s="18" customFormat="1" ht="16.5" customHeight="1">
      <c r="A42" s="340" t="s">
        <v>334</v>
      </c>
      <c r="B42" s="490" t="s">
        <v>1072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335</v>
      </c>
      <c r="B44" s="490" t="s">
        <v>1073</v>
      </c>
      <c r="C44" s="433" t="s">
        <v>65</v>
      </c>
      <c r="D44" s="109">
        <v>-4633.2643570013179</v>
      </c>
      <c r="E44" s="109">
        <v>35876.928999999946</v>
      </c>
      <c r="F44" s="109">
        <v>26432.426040999992</v>
      </c>
      <c r="G44" s="109">
        <v>10527.822591578122</v>
      </c>
      <c r="H44" s="108"/>
      <c r="I44" s="68"/>
      <c r="AX44" s="659" t="str">
        <f>CountryCode &amp; ".T3.SD.S1311.MNAC." &amp; RefVintage</f>
        <v>HU.T3.SD.S1311.MNAC.S.2021</v>
      </c>
    </row>
    <row r="45" spans="1:50" s="18" customFormat="1" ht="16.5" customHeight="1">
      <c r="A45" s="340" t="s">
        <v>336</v>
      </c>
      <c r="B45" s="490" t="s">
        <v>1074</v>
      </c>
      <c r="C45" s="428" t="s">
        <v>75</v>
      </c>
      <c r="D45" s="109">
        <v>-4633.2643570013179</v>
      </c>
      <c r="E45" s="109">
        <v>35876.928999999946</v>
      </c>
      <c r="F45" s="109">
        <v>26432.426040999992</v>
      </c>
      <c r="G45" s="109">
        <v>10527.822591578122</v>
      </c>
      <c r="H45" s="108"/>
      <c r="I45" s="68"/>
      <c r="AX45" s="659" t="str">
        <f>CountryCode &amp; ".T3.B9_SD.S1311.MNAC." &amp; RefVintage</f>
        <v>HU.T3.B9_SD.S1311.MNAC.S.2021</v>
      </c>
    </row>
    <row r="46" spans="1:50" s="18" customFormat="1" ht="16.5" customHeight="1">
      <c r="A46" s="340" t="s">
        <v>337</v>
      </c>
      <c r="B46" s="490" t="s">
        <v>1075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HU.T3.OSD.S1311.MNAC.S.2021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40" t="s">
        <v>338</v>
      </c>
      <c r="B48" s="490" t="s">
        <v>1076</v>
      </c>
      <c r="C48" s="374" t="s">
        <v>102</v>
      </c>
      <c r="D48" s="94">
        <v>1469226</v>
      </c>
      <c r="E48" s="94">
        <v>2026838</v>
      </c>
      <c r="F48" s="94">
        <v>1033485</v>
      </c>
      <c r="G48" s="95">
        <v>7145249</v>
      </c>
      <c r="H48" s="6"/>
      <c r="I48" s="68"/>
      <c r="AX48" s="659" t="str">
        <f>CountryCode &amp; ".T3.CHDEBT.S1311.MNAC." &amp; RefVintage</f>
        <v>HU.T3.CHDEBT.S1311.MNAC.S.2021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339</v>
      </c>
      <c r="B51" s="490" t="s">
        <v>1077</v>
      </c>
      <c r="C51" s="374" t="s">
        <v>107</v>
      </c>
      <c r="D51" s="91">
        <v>28585851</v>
      </c>
      <c r="E51" s="91">
        <v>30668412</v>
      </c>
      <c r="F51" s="91">
        <v>31567377</v>
      </c>
      <c r="G51" s="92">
        <v>38269159</v>
      </c>
      <c r="H51" s="4"/>
      <c r="I51" s="52"/>
      <c r="AX51" s="658" t="str">
        <f>CountryCode &amp; ".T3.CTDEBT.S1311.MNAC." &amp; RefVintage</f>
        <v>HU.T3.CTDEBT.S1311.MNAC.S.2021</v>
      </c>
    </row>
    <row r="52" spans="1:50" ht="15.6" thickTop="1">
      <c r="A52" s="340" t="s">
        <v>340</v>
      </c>
      <c r="B52" s="490" t="s">
        <v>1078</v>
      </c>
      <c r="C52" s="428" t="s">
        <v>103</v>
      </c>
      <c r="D52" s="109">
        <v>28764063</v>
      </c>
      <c r="E52" s="109">
        <v>30790901</v>
      </c>
      <c r="F52" s="109">
        <v>31824386</v>
      </c>
      <c r="G52" s="109">
        <v>38969635</v>
      </c>
      <c r="H52" s="108"/>
      <c r="I52" s="52"/>
      <c r="AX52" s="658" t="str">
        <f>CountryCode &amp; ".T3.DEBT.S1311.MNAC." &amp; RefVintage</f>
        <v>HU.T3.DEBT.S1311.MNAC.S.2021</v>
      </c>
    </row>
    <row r="53" spans="1:50">
      <c r="A53" s="340" t="s">
        <v>341</v>
      </c>
      <c r="B53" s="490" t="s">
        <v>1079</v>
      </c>
      <c r="C53" s="446" t="s">
        <v>110</v>
      </c>
      <c r="D53" s="153">
        <v>178212</v>
      </c>
      <c r="E53" s="153">
        <v>122489</v>
      </c>
      <c r="F53" s="153">
        <v>257009</v>
      </c>
      <c r="G53" s="153">
        <v>700476</v>
      </c>
      <c r="H53" s="154"/>
      <c r="I53" s="52"/>
      <c r="AX53" s="658" t="str">
        <f>CountryCode &amp; ".T3.HOLD.S1311.MNAC." &amp; RefVintage</f>
        <v>HU.T3.HOLD.S1311.MNAC.S.2021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6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2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6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6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2.9103830456733704E-11</v>
      </c>
      <c r="H67" s="437"/>
      <c r="I67" s="244"/>
      <c r="J67" s="29"/>
    </row>
    <row r="68" spans="3:10" ht="15.6">
      <c r="C68" s="439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-1.546140993013978E-11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5.0931703299283981E-11</v>
      </c>
      <c r="G73" s="381">
        <f t="shared" si="3"/>
        <v>0</v>
      </c>
      <c r="H73" s="437"/>
      <c r="I73" s="244"/>
      <c r="J73" s="29"/>
    </row>
    <row r="74" spans="3:10" ht="15.6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Bedekovics István</cp:lastModifiedBy>
  <cp:lastPrinted>2016-01-28T15:00:26Z</cp:lastPrinted>
  <dcterms:created xsi:type="dcterms:W3CDTF">1997-11-05T15:09:39Z</dcterms:created>
  <dcterms:modified xsi:type="dcterms:W3CDTF">2021-10-11T15:59:03Z</dcterms:modified>
</cp:coreProperties>
</file>