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stwork_K\idoszaki_kiadv\2020\04\edp_jelentes\"/>
    </mc:Choice>
  </mc:AlternateContent>
  <bookViews>
    <workbookView xWindow="14505" yWindow="-15" windowWidth="14310" windowHeight="6120" tabRatio="576"/>
  </bookViews>
  <sheets>
    <sheet name="Cover page" sheetId="13" r:id="rId1"/>
    <sheet name="readme" sheetId="16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</sheets>
  <definedNames>
    <definedName name="_TAB1" localSheetId="2">'Table 1'!$B$1:$Z$38</definedName>
    <definedName name="_TAB4" localSheetId="12">'Table 4'!$C$1:$AA$31</definedName>
    <definedName name="CodeRng1" localSheetId="2">'Table 1'!$BB$8:$BB$35</definedName>
    <definedName name="CodeRng1" localSheetId="3">'Table 2A'!$BB$8:$BB$104</definedName>
    <definedName name="CodeRng1" localSheetId="4">'Table 2B'!$BB$8:$BB$43</definedName>
    <definedName name="CodeRng1" localSheetId="5">'Table 2C'!$BB$8:$BB$47</definedName>
    <definedName name="CodeRng1" localSheetId="6">'Table 2D'!$BB$8:$BB$45</definedName>
    <definedName name="CodeRng1" localSheetId="7">'Table 3A'!$BB$10:$BB$48</definedName>
    <definedName name="CodeRng1" localSheetId="8">'Table 3B'!$BB$10:$BB$53</definedName>
    <definedName name="CodeRng1" localSheetId="9">'Table 3C'!$BB$10:$BB$53</definedName>
    <definedName name="CodeRng1" localSheetId="10">'Table 3D'!$BB$10:$BB$53</definedName>
    <definedName name="CodeRng1" localSheetId="11">'Table 3E'!$BB$10:$BB$53</definedName>
    <definedName name="CodeRng1" localSheetId="12">'Table 4'!$BB$8:$BB$38</definedName>
    <definedName name="CountryArray" localSheetId="1">'Cover page'!$BA$1:$BC$40</definedName>
    <definedName name="CountryCode">readme!$B$2</definedName>
    <definedName name="COVER" localSheetId="0">'Cover page'!$A$1:$N$40</definedName>
    <definedName name="DataRng1" localSheetId="2">'Table 1'!$E$8:$Y$35</definedName>
    <definedName name="DataRng1" localSheetId="3">'Table 2A'!$D$8:$X$104</definedName>
    <definedName name="DataRng1" localSheetId="4">'Table 2B'!$D$8:$X$43</definedName>
    <definedName name="DataRng1" localSheetId="5">'Table 2C'!$D$8:$X$47</definedName>
    <definedName name="DataRng1" localSheetId="6">'Table 2D'!$D$8:$X$45</definedName>
    <definedName name="DataRng1" localSheetId="7">'Table 3A'!$D$10:$X$48</definedName>
    <definedName name="DataRng1" localSheetId="8">'Table 3B'!$D$10:$X$53</definedName>
    <definedName name="DataRng1" localSheetId="9">'Table 3C'!$D$10:$X$53</definedName>
    <definedName name="DataRng1" localSheetId="10">'Table 3D'!$D$10:$X$53</definedName>
    <definedName name="DataRng1" localSheetId="11">'Table 3E'!$D$10:$X$53</definedName>
    <definedName name="DataRng1" localSheetId="12">'Table 4'!$F$8:$Z$38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1'!$C$1:$Z$38</definedName>
    <definedName name="_xlnm.Print_Area" localSheetId="3">'Table 2A'!$C$1:$Z$109</definedName>
    <definedName name="_xlnm.Print_Area" localSheetId="4">'Table 2B'!$C$1:$Z$48</definedName>
    <definedName name="_xlnm.Print_Area" localSheetId="5">'Table 2C'!$C$1:$Z$52</definedName>
    <definedName name="_xlnm.Print_Area" localSheetId="6">'Table 2D'!$C$1:$Z$50</definedName>
    <definedName name="_xlnm.Print_Area" localSheetId="7">'Table 3A'!$C$1:$Z$56</definedName>
    <definedName name="_xlnm.Print_Area" localSheetId="8">'Table 3B'!$C$1:$Z$61</definedName>
    <definedName name="_xlnm.Print_Area" localSheetId="9">'Table 3C'!$C$1:$Z$61</definedName>
    <definedName name="_xlnm.Print_Area" localSheetId="10">'Table 3D'!$C$1:$Z$61</definedName>
    <definedName name="_xlnm.Print_Area" localSheetId="11">'Table 3E'!$C$1:$Z$61</definedName>
    <definedName name="_xlnm.Print_Area" localSheetId="12">'Table 4'!$C$1:$AA$42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2A'!$A$1:$AA$109</definedName>
    <definedName name="TAB2B" localSheetId="4">'Table 2B'!$B$1:$AA$48</definedName>
    <definedName name="TAB2C" localSheetId="5">'Table 2C'!$B$1:$AA$52</definedName>
    <definedName name="TAB2D" localSheetId="6">'Table 2D'!$B$1:$AA$50</definedName>
    <definedName name="TAB3A" localSheetId="8">'Table 3B'!$B$2:$AB$62</definedName>
    <definedName name="TAB3B" localSheetId="9">'Table 3C'!$B$2:$AB$62</definedName>
    <definedName name="TAB3C" localSheetId="10">'Table 3D'!$B$1:$AB$62</definedName>
    <definedName name="TAB3D" localSheetId="11">'Table 3E'!$B$1:$AB$63</definedName>
    <definedName name="TAB3E" localSheetId="7">'Table 3A'!$B$2:$AB$57</definedName>
    <definedName name="TimeRng1" localSheetId="2">'Table 1'!$E$5:$Y$5</definedName>
    <definedName name="TimeRng1" localSheetId="3">'Table 2A'!$D$5:$X$5</definedName>
    <definedName name="TimeRng1" localSheetId="4">'Table 2B'!$D$5:$X$5</definedName>
    <definedName name="TimeRng1" localSheetId="5">'Table 2C'!$D$5:$X$5</definedName>
    <definedName name="TimeRng1" localSheetId="6">'Table 2D'!$D$5:$X$5</definedName>
    <definedName name="TimeRng1" localSheetId="7">'Table 3A'!$D$7:$X$7</definedName>
    <definedName name="TimeRng1" localSheetId="8">'Table 3B'!$D$7:$X$7</definedName>
    <definedName name="TimeRng1" localSheetId="9">'Table 3C'!$D$7:$X$7</definedName>
    <definedName name="TimeRng1" localSheetId="10">'Table 3D'!$D$7:$X$7</definedName>
    <definedName name="TimeRng1" localSheetId="11">'Table 3E'!$D$7:$X$7</definedName>
    <definedName name="TimeRng1" localSheetId="12">'Table 4'!$F$6:$Z$6</definedName>
  </definedNames>
  <calcPr calcId="162913"/>
</workbook>
</file>

<file path=xl/calcChain.xml><?xml version="1.0" encoding="utf-8"?>
<calcChain xmlns="http://schemas.openxmlformats.org/spreadsheetml/2006/main">
  <c r="X71" i="15" l="1"/>
  <c r="X72" i="15"/>
  <c r="X73" i="15"/>
  <c r="X75" i="15"/>
  <c r="E41" i="12" l="1"/>
  <c r="P2" i="13" s="1"/>
  <c r="Z8" i="2" l="1"/>
  <c r="X77" i="3"/>
  <c r="X75" i="3"/>
  <c r="X74" i="3"/>
  <c r="X72" i="3"/>
  <c r="X71" i="3"/>
  <c r="X70" i="3"/>
  <c r="X69" i="3"/>
  <c r="X68" i="3"/>
  <c r="X12" i="3"/>
  <c r="X67" i="3" s="1"/>
  <c r="X31" i="3"/>
  <c r="X73" i="3" s="1"/>
  <c r="X77" i="4"/>
  <c r="X75" i="4"/>
  <c r="X74" i="4"/>
  <c r="X72" i="4"/>
  <c r="X71" i="4"/>
  <c r="X70" i="4"/>
  <c r="X69" i="4"/>
  <c r="X68" i="4"/>
  <c r="X31" i="4"/>
  <c r="X73" i="4" s="1"/>
  <c r="X12" i="4"/>
  <c r="X67" i="4" s="1"/>
  <c r="X77" i="5"/>
  <c r="X75" i="5"/>
  <c r="X74" i="5"/>
  <c r="X72" i="5"/>
  <c r="X71" i="5"/>
  <c r="X70" i="5"/>
  <c r="X69" i="5"/>
  <c r="X68" i="5"/>
  <c r="X31" i="5"/>
  <c r="X73" i="5" s="1"/>
  <c r="X12" i="5"/>
  <c r="X77" i="6"/>
  <c r="X75" i="6"/>
  <c r="X74" i="6"/>
  <c r="X72" i="6"/>
  <c r="X71" i="6"/>
  <c r="X70" i="6"/>
  <c r="X69" i="6"/>
  <c r="X68" i="6"/>
  <c r="X31" i="6"/>
  <c r="X73" i="6" s="1"/>
  <c r="X12" i="6"/>
  <c r="X69" i="15"/>
  <c r="X67" i="15"/>
  <c r="X66" i="15"/>
  <c r="X65" i="15"/>
  <c r="X64" i="15"/>
  <c r="X63" i="15"/>
  <c r="X31" i="15"/>
  <c r="X68" i="15" s="1"/>
  <c r="X12" i="15"/>
  <c r="X59" i="8"/>
  <c r="X55" i="8"/>
  <c r="X56" i="8"/>
  <c r="X57" i="8"/>
  <c r="X10" i="8"/>
  <c r="X61" i="9"/>
  <c r="X57" i="9"/>
  <c r="X58" i="9"/>
  <c r="X59" i="9"/>
  <c r="X10" i="9"/>
  <c r="X118" i="11"/>
  <c r="X57" i="10"/>
  <c r="W57" i="10"/>
  <c r="Y43" i="12"/>
  <c r="Y44" i="12"/>
  <c r="Y45" i="12"/>
  <c r="Y46" i="12"/>
  <c r="Y17" i="12"/>
  <c r="Y9" i="12"/>
  <c r="E5" i="12"/>
  <c r="X53" i="10"/>
  <c r="X54" i="10"/>
  <c r="X55" i="10"/>
  <c r="X10" i="10"/>
  <c r="X114" i="11"/>
  <c r="X115" i="11"/>
  <c r="X116" i="11"/>
  <c r="X66" i="3" l="1"/>
  <c r="X66" i="4"/>
  <c r="X66" i="5"/>
  <c r="X67" i="5"/>
  <c r="X66" i="6"/>
  <c r="X74" i="15"/>
  <c r="X67" i="6"/>
  <c r="X61" i="15"/>
  <c r="X62" i="15"/>
  <c r="W63" i="15"/>
  <c r="W64" i="15"/>
  <c r="W65" i="15"/>
  <c r="W66" i="15"/>
  <c r="W67" i="15"/>
  <c r="W69" i="15"/>
  <c r="W71" i="15"/>
  <c r="W72" i="15"/>
  <c r="W73" i="15"/>
  <c r="W75" i="15"/>
  <c r="AB2" i="2" l="1"/>
  <c r="AC2" i="3"/>
  <c r="AC2" i="4"/>
  <c r="AC2" i="5"/>
  <c r="AC2" i="6"/>
  <c r="AC2" i="15"/>
  <c r="AC2" i="8"/>
  <c r="AC2" i="9"/>
  <c r="AC2" i="10"/>
  <c r="AA2" i="12"/>
  <c r="AC2" i="11"/>
  <c r="N1" i="13" l="1"/>
  <c r="BA31" i="13"/>
  <c r="BA32" i="13"/>
  <c r="BA33" i="13"/>
  <c r="BA34" i="13"/>
  <c r="BA35" i="13"/>
  <c r="BA36" i="13"/>
  <c r="BA37" i="13"/>
  <c r="BA38" i="13"/>
  <c r="BA39" i="13"/>
  <c r="BA40" i="13"/>
  <c r="BA30" i="13"/>
  <c r="BA2" i="13"/>
  <c r="F44" i="2" l="1"/>
  <c r="Y8" i="2"/>
  <c r="W68" i="3"/>
  <c r="W69" i="3"/>
  <c r="W70" i="3"/>
  <c r="W71" i="3"/>
  <c r="W72" i="3"/>
  <c r="W74" i="3"/>
  <c r="W75" i="3"/>
  <c r="W77" i="3"/>
  <c r="W31" i="3"/>
  <c r="W73" i="3" s="1"/>
  <c r="W12" i="3"/>
  <c r="W68" i="4"/>
  <c r="W69" i="4"/>
  <c r="W70" i="4"/>
  <c r="W71" i="4"/>
  <c r="W72" i="4"/>
  <c r="W74" i="4"/>
  <c r="W75" i="4"/>
  <c r="W77" i="4"/>
  <c r="W31" i="4"/>
  <c r="W12" i="4"/>
  <c r="W67" i="4" s="1"/>
  <c r="W68" i="5"/>
  <c r="W69" i="5"/>
  <c r="W70" i="5"/>
  <c r="W71" i="5"/>
  <c r="W72" i="5"/>
  <c r="W74" i="5"/>
  <c r="W75" i="5"/>
  <c r="W77" i="5"/>
  <c r="W31" i="5"/>
  <c r="W73" i="5" s="1"/>
  <c r="W12" i="5"/>
  <c r="W67" i="5" s="1"/>
  <c r="W68" i="6"/>
  <c r="W69" i="6"/>
  <c r="W70" i="6"/>
  <c r="W71" i="6"/>
  <c r="W72" i="6"/>
  <c r="W74" i="6"/>
  <c r="W75" i="6"/>
  <c r="W77" i="6"/>
  <c r="W31" i="6"/>
  <c r="W73" i="6" s="1"/>
  <c r="W12" i="6"/>
  <c r="W31" i="15"/>
  <c r="W68" i="15" s="1"/>
  <c r="W12" i="15"/>
  <c r="W55" i="8"/>
  <c r="W56" i="8"/>
  <c r="W57" i="8"/>
  <c r="W59" i="8"/>
  <c r="D53" i="8"/>
  <c r="W10" i="8"/>
  <c r="D55" i="9"/>
  <c r="W57" i="9"/>
  <c r="W58" i="9"/>
  <c r="W59" i="9"/>
  <c r="W61" i="9"/>
  <c r="W10" i="9"/>
  <c r="D51" i="10"/>
  <c r="W53" i="10"/>
  <c r="W54" i="10"/>
  <c r="W55" i="10"/>
  <c r="W10" i="10"/>
  <c r="D112" i="11"/>
  <c r="W114" i="11"/>
  <c r="W115" i="11"/>
  <c r="W116" i="11"/>
  <c r="W118" i="11"/>
  <c r="W10" i="11"/>
  <c r="X43" i="12"/>
  <c r="X44" i="12"/>
  <c r="X45" i="12"/>
  <c r="X46" i="12"/>
  <c r="X17" i="12"/>
  <c r="X9" i="12"/>
  <c r="W66" i="3" l="1"/>
  <c r="W66" i="4"/>
  <c r="W73" i="4"/>
  <c r="W66" i="5"/>
  <c r="W66" i="6"/>
  <c r="W67" i="6"/>
  <c r="W67" i="3"/>
  <c r="W61" i="15"/>
  <c r="W62" i="15"/>
  <c r="W74" i="15"/>
  <c r="T63" i="15"/>
  <c r="U63" i="15"/>
  <c r="V63" i="15"/>
  <c r="T64" i="15"/>
  <c r="U64" i="15"/>
  <c r="V64" i="15"/>
  <c r="T65" i="15"/>
  <c r="U65" i="15"/>
  <c r="V65" i="15"/>
  <c r="T66" i="15"/>
  <c r="U66" i="15"/>
  <c r="V66" i="15"/>
  <c r="T67" i="15"/>
  <c r="U67" i="15"/>
  <c r="V67" i="15"/>
  <c r="T69" i="15"/>
  <c r="U69" i="15"/>
  <c r="V69" i="15"/>
  <c r="T71" i="15"/>
  <c r="U71" i="15"/>
  <c r="V71" i="15"/>
  <c r="T72" i="15"/>
  <c r="U72" i="15"/>
  <c r="V72" i="15"/>
  <c r="T73" i="15"/>
  <c r="U73" i="15"/>
  <c r="V73" i="15"/>
  <c r="T75" i="15"/>
  <c r="U75" i="15"/>
  <c r="V75" i="15"/>
  <c r="V8" i="2" l="1"/>
  <c r="W8" i="2"/>
  <c r="X8" i="2"/>
  <c r="T68" i="5"/>
  <c r="U68" i="5"/>
  <c r="V68" i="5"/>
  <c r="T69" i="5"/>
  <c r="U69" i="5"/>
  <c r="V69" i="5"/>
  <c r="T70" i="5"/>
  <c r="U70" i="5"/>
  <c r="V70" i="5"/>
  <c r="T71" i="5"/>
  <c r="U71" i="5"/>
  <c r="V71" i="5"/>
  <c r="T72" i="5"/>
  <c r="U72" i="5"/>
  <c r="V72" i="5"/>
  <c r="T74" i="5"/>
  <c r="U74" i="5"/>
  <c r="V74" i="5"/>
  <c r="T75" i="5"/>
  <c r="U75" i="5"/>
  <c r="V75" i="5"/>
  <c r="T77" i="5"/>
  <c r="U77" i="5"/>
  <c r="V77" i="5"/>
  <c r="T68" i="4"/>
  <c r="U68" i="4"/>
  <c r="V68" i="4"/>
  <c r="T69" i="4"/>
  <c r="U69" i="4"/>
  <c r="V69" i="4"/>
  <c r="T70" i="4"/>
  <c r="U70" i="4"/>
  <c r="V70" i="4"/>
  <c r="T71" i="4"/>
  <c r="U71" i="4"/>
  <c r="V71" i="4"/>
  <c r="T72" i="4"/>
  <c r="U72" i="4"/>
  <c r="V72" i="4"/>
  <c r="T74" i="4"/>
  <c r="U74" i="4"/>
  <c r="V74" i="4"/>
  <c r="T75" i="4"/>
  <c r="U75" i="4"/>
  <c r="V75" i="4"/>
  <c r="T77" i="4"/>
  <c r="U77" i="4"/>
  <c r="V77" i="4"/>
  <c r="T68" i="3"/>
  <c r="U68" i="3"/>
  <c r="V68" i="3"/>
  <c r="T69" i="3"/>
  <c r="U69" i="3"/>
  <c r="V69" i="3"/>
  <c r="T70" i="3"/>
  <c r="U70" i="3"/>
  <c r="V70" i="3"/>
  <c r="T71" i="3"/>
  <c r="U71" i="3"/>
  <c r="V71" i="3"/>
  <c r="T72" i="3"/>
  <c r="U72" i="3"/>
  <c r="V72" i="3"/>
  <c r="T74" i="3"/>
  <c r="U74" i="3"/>
  <c r="V74" i="3"/>
  <c r="T75" i="3"/>
  <c r="U75" i="3"/>
  <c r="V75" i="3"/>
  <c r="T77" i="3"/>
  <c r="U77" i="3"/>
  <c r="V77" i="3"/>
  <c r="T68" i="6"/>
  <c r="U68" i="6"/>
  <c r="V68" i="6"/>
  <c r="T69" i="6"/>
  <c r="U69" i="6"/>
  <c r="V69" i="6"/>
  <c r="T70" i="6"/>
  <c r="U70" i="6"/>
  <c r="V70" i="6"/>
  <c r="T71" i="6"/>
  <c r="U71" i="6"/>
  <c r="V71" i="6"/>
  <c r="T72" i="6"/>
  <c r="U72" i="6"/>
  <c r="V72" i="6"/>
  <c r="T74" i="6"/>
  <c r="U74" i="6"/>
  <c r="V74" i="6"/>
  <c r="T75" i="6"/>
  <c r="U75" i="6"/>
  <c r="V75" i="6"/>
  <c r="T77" i="6"/>
  <c r="U77" i="6"/>
  <c r="V77" i="6"/>
  <c r="T12" i="5"/>
  <c r="T67" i="5" s="1"/>
  <c r="U12" i="5"/>
  <c r="U67" i="5" s="1"/>
  <c r="V12" i="5"/>
  <c r="T31" i="5"/>
  <c r="T73" i="5" s="1"/>
  <c r="U31" i="5"/>
  <c r="U73" i="5" s="1"/>
  <c r="V31" i="5"/>
  <c r="V73" i="5" s="1"/>
  <c r="T12" i="4"/>
  <c r="T67" i="4" s="1"/>
  <c r="U12" i="4"/>
  <c r="V12" i="4"/>
  <c r="V67" i="4" s="1"/>
  <c r="T31" i="4"/>
  <c r="T73" i="4" s="1"/>
  <c r="U31" i="4"/>
  <c r="U73" i="4" s="1"/>
  <c r="V31" i="4"/>
  <c r="V73" i="4" s="1"/>
  <c r="T12" i="3"/>
  <c r="U12" i="3"/>
  <c r="U67" i="3" s="1"/>
  <c r="V12" i="3"/>
  <c r="T31" i="3"/>
  <c r="T73" i="3" s="1"/>
  <c r="U31" i="3"/>
  <c r="U73" i="3" s="1"/>
  <c r="V31" i="3"/>
  <c r="V73" i="3" s="1"/>
  <c r="T12" i="6"/>
  <c r="T67" i="6" s="1"/>
  <c r="U12" i="6"/>
  <c r="V12" i="6"/>
  <c r="T31" i="6"/>
  <c r="U31" i="6"/>
  <c r="U73" i="6" s="1"/>
  <c r="V31" i="6"/>
  <c r="V73" i="6" s="1"/>
  <c r="T12" i="15"/>
  <c r="U12" i="15"/>
  <c r="V12" i="15"/>
  <c r="T31" i="15"/>
  <c r="T68" i="15" s="1"/>
  <c r="U31" i="15"/>
  <c r="U68" i="15" s="1"/>
  <c r="V31" i="15"/>
  <c r="V68" i="15" s="1"/>
  <c r="T57" i="9"/>
  <c r="U57" i="9"/>
  <c r="V57" i="9"/>
  <c r="T58" i="9"/>
  <c r="U58" i="9"/>
  <c r="V58" i="9"/>
  <c r="T59" i="9"/>
  <c r="U59" i="9"/>
  <c r="V59" i="9"/>
  <c r="T61" i="9"/>
  <c r="U61" i="9"/>
  <c r="V61" i="9"/>
  <c r="T55" i="8"/>
  <c r="U55" i="8"/>
  <c r="V55" i="8"/>
  <c r="T56" i="8"/>
  <c r="U56" i="8"/>
  <c r="V56" i="8"/>
  <c r="T57" i="8"/>
  <c r="U57" i="8"/>
  <c r="V57" i="8"/>
  <c r="T59" i="8"/>
  <c r="U59" i="8"/>
  <c r="V59" i="8"/>
  <c r="T53" i="10"/>
  <c r="U53" i="10"/>
  <c r="V53" i="10"/>
  <c r="T54" i="10"/>
  <c r="U54" i="10"/>
  <c r="V54" i="10"/>
  <c r="T55" i="10"/>
  <c r="U55" i="10"/>
  <c r="V55" i="10"/>
  <c r="T57" i="10"/>
  <c r="U57" i="10"/>
  <c r="V57" i="10"/>
  <c r="T10" i="9"/>
  <c r="U10" i="9"/>
  <c r="V10" i="9"/>
  <c r="T10" i="8"/>
  <c r="U10" i="8"/>
  <c r="V10" i="8"/>
  <c r="T10" i="10"/>
  <c r="U10" i="10"/>
  <c r="V10" i="10"/>
  <c r="T114" i="11"/>
  <c r="U114" i="11"/>
  <c r="V114" i="11"/>
  <c r="T115" i="11"/>
  <c r="U115" i="11"/>
  <c r="V115" i="11"/>
  <c r="T116" i="11"/>
  <c r="U116" i="11"/>
  <c r="V116" i="11"/>
  <c r="T118" i="11"/>
  <c r="U118" i="11"/>
  <c r="V118" i="11"/>
  <c r="T10" i="11"/>
  <c r="U10" i="11"/>
  <c r="V10" i="11"/>
  <c r="U43" i="12"/>
  <c r="V43" i="12"/>
  <c r="W43" i="12"/>
  <c r="U44" i="12"/>
  <c r="V44" i="12"/>
  <c r="W44" i="12"/>
  <c r="U45" i="12"/>
  <c r="V45" i="12"/>
  <c r="W45" i="12"/>
  <c r="U46" i="12"/>
  <c r="V46" i="12"/>
  <c r="W46" i="12"/>
  <c r="U9" i="12"/>
  <c r="V9" i="12"/>
  <c r="W9" i="12"/>
  <c r="U17" i="12"/>
  <c r="V17" i="12"/>
  <c r="W17" i="12"/>
  <c r="T66" i="3" l="1"/>
  <c r="V61" i="15"/>
  <c r="V62" i="15"/>
  <c r="U62" i="15"/>
  <c r="U74" i="15"/>
  <c r="U61" i="15"/>
  <c r="T74" i="15"/>
  <c r="T62" i="15"/>
  <c r="T61" i="15"/>
  <c r="U66" i="4"/>
  <c r="V66" i="3"/>
  <c r="V67" i="6"/>
  <c r="V74" i="15"/>
  <c r="U66" i="3"/>
  <c r="V67" i="3"/>
  <c r="T67" i="3"/>
  <c r="T66" i="4"/>
  <c r="V66" i="4"/>
  <c r="U67" i="4"/>
  <c r="V66" i="5"/>
  <c r="T66" i="5"/>
  <c r="V67" i="5"/>
  <c r="U66" i="5"/>
  <c r="U66" i="6"/>
  <c r="T66" i="6"/>
  <c r="U67" i="6"/>
  <c r="V66" i="6"/>
  <c r="T73" i="6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S77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D74" i="5"/>
  <c r="D74" i="4"/>
  <c r="D74" i="3"/>
  <c r="D74" i="6"/>
  <c r="D72" i="5"/>
  <c r="D72" i="4"/>
  <c r="D72" i="3"/>
  <c r="D72" i="6"/>
  <c r="D71" i="5"/>
  <c r="D71" i="4"/>
  <c r="D71" i="3"/>
  <c r="D71" i="6"/>
  <c r="D70" i="5"/>
  <c r="D70" i="4"/>
  <c r="D70" i="3"/>
  <c r="D70" i="6"/>
  <c r="D69" i="5"/>
  <c r="D69" i="4"/>
  <c r="D69" i="3"/>
  <c r="D69" i="6"/>
  <c r="D68" i="5"/>
  <c r="D68" i="4"/>
  <c r="D68" i="3"/>
  <c r="D68" i="6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D56" i="8"/>
  <c r="D55" i="8"/>
  <c r="D57" i="8"/>
  <c r="D59" i="9"/>
  <c r="D58" i="9"/>
  <c r="D57" i="9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S118" i="11"/>
  <c r="R118" i="11"/>
  <c r="Q118" i="11"/>
  <c r="P118" i="11"/>
  <c r="O118" i="11"/>
  <c r="N118" i="11"/>
  <c r="M118" i="11"/>
  <c r="L118" i="11"/>
  <c r="K118" i="11"/>
  <c r="J118" i="11"/>
  <c r="I118" i="11"/>
  <c r="H118" i="11"/>
  <c r="G118" i="11"/>
  <c r="F118" i="11"/>
  <c r="E118" i="11"/>
  <c r="D118" i="11"/>
  <c r="S116" i="11"/>
  <c r="R116" i="11"/>
  <c r="Q116" i="11"/>
  <c r="P116" i="11"/>
  <c r="O116" i="11"/>
  <c r="N116" i="11"/>
  <c r="M116" i="11"/>
  <c r="L116" i="11"/>
  <c r="K116" i="11"/>
  <c r="J116" i="11"/>
  <c r="I116" i="11"/>
  <c r="H116" i="11"/>
  <c r="G116" i="11"/>
  <c r="F116" i="11"/>
  <c r="E116" i="11"/>
  <c r="D116" i="11"/>
  <c r="S115" i="11"/>
  <c r="R115" i="11"/>
  <c r="Q115" i="11"/>
  <c r="P115" i="11"/>
  <c r="O115" i="11"/>
  <c r="N115" i="11"/>
  <c r="M115" i="11"/>
  <c r="L115" i="11"/>
  <c r="K115" i="11"/>
  <c r="J115" i="11"/>
  <c r="I115" i="11"/>
  <c r="H115" i="11"/>
  <c r="G115" i="11"/>
  <c r="F115" i="11"/>
  <c r="E115" i="11"/>
  <c r="D115" i="11"/>
  <c r="S114" i="11" l="1"/>
  <c r="R114" i="11"/>
  <c r="Q114" i="11"/>
  <c r="P114" i="11"/>
  <c r="O114" i="11"/>
  <c r="N114" i="11"/>
  <c r="M114" i="11"/>
  <c r="L114" i="11"/>
  <c r="K114" i="11"/>
  <c r="J114" i="11"/>
  <c r="I114" i="11"/>
  <c r="H114" i="11"/>
  <c r="G114" i="11"/>
  <c r="F114" i="11"/>
  <c r="E114" i="11"/>
  <c r="D114" i="11"/>
  <c r="S75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E75" i="15"/>
  <c r="D75" i="15"/>
  <c r="S73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F73" i="15"/>
  <c r="E7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S69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S64" i="15"/>
  <c r="R64" i="15"/>
  <c r="Q64" i="15"/>
  <c r="P64" i="15"/>
  <c r="O64" i="15"/>
  <c r="N64" i="15"/>
  <c r="M64" i="15"/>
  <c r="L64" i="15"/>
  <c r="K64" i="15"/>
  <c r="J64" i="15"/>
  <c r="I64" i="15"/>
  <c r="H64" i="15"/>
  <c r="G64" i="15"/>
  <c r="F64" i="15"/>
  <c r="E64" i="15"/>
  <c r="D64" i="15"/>
  <c r="D73" i="15"/>
  <c r="F46" i="12" l="1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E46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E45" i="12"/>
  <c r="E44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E43" i="12"/>
  <c r="S8" i="2" l="1"/>
  <c r="T8" i="2"/>
  <c r="U8" i="2"/>
  <c r="Q12" i="5"/>
  <c r="R12" i="5"/>
  <c r="S12" i="5"/>
  <c r="Q31" i="5"/>
  <c r="Q73" i="5" s="1"/>
  <c r="R31" i="5"/>
  <c r="R73" i="5" s="1"/>
  <c r="S31" i="5"/>
  <c r="S73" i="5" s="1"/>
  <c r="Q12" i="4"/>
  <c r="R12" i="4"/>
  <c r="S12" i="4"/>
  <c r="Q31" i="4"/>
  <c r="Q73" i="4" s="1"/>
  <c r="R31" i="4"/>
  <c r="R73" i="4" s="1"/>
  <c r="S31" i="4"/>
  <c r="S73" i="4" s="1"/>
  <c r="Q12" i="3"/>
  <c r="R12" i="3"/>
  <c r="S12" i="3"/>
  <c r="Q31" i="3"/>
  <c r="Q73" i="3" s="1"/>
  <c r="R31" i="3"/>
  <c r="R73" i="3" s="1"/>
  <c r="S31" i="3"/>
  <c r="S73" i="3" s="1"/>
  <c r="Q12" i="6"/>
  <c r="R12" i="6"/>
  <c r="S12" i="6"/>
  <c r="Q31" i="6"/>
  <c r="Q73" i="6" s="1"/>
  <c r="R31" i="6"/>
  <c r="R73" i="6" s="1"/>
  <c r="S31" i="6"/>
  <c r="S73" i="6" s="1"/>
  <c r="R12" i="15"/>
  <c r="S12" i="15"/>
  <c r="R31" i="15"/>
  <c r="R68" i="15" s="1"/>
  <c r="S31" i="15"/>
  <c r="S68" i="15" s="1"/>
  <c r="Q10" i="9"/>
  <c r="R10" i="9"/>
  <c r="S10" i="9"/>
  <c r="Q10" i="8"/>
  <c r="R10" i="8"/>
  <c r="S10" i="8"/>
  <c r="Q10" i="10"/>
  <c r="R10" i="10"/>
  <c r="S10" i="10"/>
  <c r="R10" i="11"/>
  <c r="S10" i="11"/>
  <c r="P31" i="6"/>
  <c r="P73" i="6" s="1"/>
  <c r="O31" i="6"/>
  <c r="O73" i="6" s="1"/>
  <c r="N31" i="6"/>
  <c r="N73" i="6" s="1"/>
  <c r="M31" i="6"/>
  <c r="M73" i="6" s="1"/>
  <c r="L31" i="6"/>
  <c r="L73" i="6" s="1"/>
  <c r="K31" i="6"/>
  <c r="K73" i="6" s="1"/>
  <c r="J31" i="6"/>
  <c r="J73" i="6" s="1"/>
  <c r="I31" i="6"/>
  <c r="I73" i="6" s="1"/>
  <c r="H31" i="6"/>
  <c r="H73" i="6" s="1"/>
  <c r="G31" i="6"/>
  <c r="G73" i="6" s="1"/>
  <c r="F31" i="6"/>
  <c r="F73" i="6" s="1"/>
  <c r="E31" i="6"/>
  <c r="E73" i="6" s="1"/>
  <c r="D31" i="6"/>
  <c r="D73" i="6" s="1"/>
  <c r="P31" i="5"/>
  <c r="P73" i="5" s="1"/>
  <c r="O31" i="5"/>
  <c r="O73" i="5" s="1"/>
  <c r="N31" i="5"/>
  <c r="N73" i="5" s="1"/>
  <c r="M31" i="5"/>
  <c r="M73" i="5" s="1"/>
  <c r="L31" i="5"/>
  <c r="L73" i="5" s="1"/>
  <c r="K31" i="5"/>
  <c r="K73" i="5" s="1"/>
  <c r="J31" i="5"/>
  <c r="J73" i="5" s="1"/>
  <c r="I31" i="5"/>
  <c r="I73" i="5" s="1"/>
  <c r="H31" i="5"/>
  <c r="H73" i="5" s="1"/>
  <c r="G31" i="5"/>
  <c r="G73" i="5" s="1"/>
  <c r="F31" i="5"/>
  <c r="F73" i="5" s="1"/>
  <c r="E31" i="5"/>
  <c r="E73" i="5" s="1"/>
  <c r="D31" i="5"/>
  <c r="D73" i="5" s="1"/>
  <c r="P31" i="4"/>
  <c r="P73" i="4" s="1"/>
  <c r="O31" i="4"/>
  <c r="O73" i="4" s="1"/>
  <c r="N31" i="4"/>
  <c r="N73" i="4" s="1"/>
  <c r="M31" i="4"/>
  <c r="M73" i="4" s="1"/>
  <c r="L31" i="4"/>
  <c r="L73" i="4" s="1"/>
  <c r="K31" i="4"/>
  <c r="K73" i="4" s="1"/>
  <c r="J31" i="4"/>
  <c r="J73" i="4" s="1"/>
  <c r="I31" i="4"/>
  <c r="I73" i="4" s="1"/>
  <c r="H31" i="4"/>
  <c r="H73" i="4" s="1"/>
  <c r="G31" i="4"/>
  <c r="G73" i="4" s="1"/>
  <c r="F31" i="4"/>
  <c r="F73" i="4" s="1"/>
  <c r="E31" i="4"/>
  <c r="E73" i="4" s="1"/>
  <c r="D31" i="4"/>
  <c r="D73" i="4" s="1"/>
  <c r="P31" i="3"/>
  <c r="P73" i="3" s="1"/>
  <c r="O31" i="3"/>
  <c r="O73" i="3" s="1"/>
  <c r="N31" i="3"/>
  <c r="N73" i="3" s="1"/>
  <c r="M31" i="3"/>
  <c r="M73" i="3" s="1"/>
  <c r="L31" i="3"/>
  <c r="L73" i="3" s="1"/>
  <c r="K31" i="3"/>
  <c r="K73" i="3" s="1"/>
  <c r="J31" i="3"/>
  <c r="J73" i="3" s="1"/>
  <c r="I31" i="3"/>
  <c r="I73" i="3" s="1"/>
  <c r="H31" i="3"/>
  <c r="H73" i="3" s="1"/>
  <c r="G31" i="3"/>
  <c r="G73" i="3" s="1"/>
  <c r="F31" i="3"/>
  <c r="F73" i="3" s="1"/>
  <c r="E31" i="3"/>
  <c r="E73" i="3" s="1"/>
  <c r="D31" i="3"/>
  <c r="D73" i="3" s="1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Q31" i="15"/>
  <c r="Q68" i="15" s="1"/>
  <c r="P31" i="15"/>
  <c r="P68" i="15" s="1"/>
  <c r="O31" i="15"/>
  <c r="O68" i="15" s="1"/>
  <c r="N31" i="15"/>
  <c r="N68" i="15" s="1"/>
  <c r="M31" i="15"/>
  <c r="M68" i="15" s="1"/>
  <c r="L31" i="15"/>
  <c r="L68" i="15" s="1"/>
  <c r="K31" i="15"/>
  <c r="K68" i="15" s="1"/>
  <c r="J31" i="15"/>
  <c r="J68" i="15" s="1"/>
  <c r="I31" i="15"/>
  <c r="I68" i="15" s="1"/>
  <c r="H31" i="15"/>
  <c r="H68" i="15" s="1"/>
  <c r="G31" i="15"/>
  <c r="G68" i="15" s="1"/>
  <c r="F31" i="15"/>
  <c r="F68" i="15" s="1"/>
  <c r="E31" i="15"/>
  <c r="E68" i="15" s="1"/>
  <c r="D31" i="15"/>
  <c r="D68" i="15" s="1"/>
  <c r="D64" i="6" l="1"/>
  <c r="D64" i="4"/>
  <c r="D64" i="3"/>
  <c r="D59" i="15"/>
  <c r="D64" i="5"/>
  <c r="G66" i="3"/>
  <c r="G67" i="3"/>
  <c r="K66" i="3"/>
  <c r="K67" i="3"/>
  <c r="O66" i="3"/>
  <c r="O67" i="3"/>
  <c r="S66" i="3"/>
  <c r="S67" i="3"/>
  <c r="D67" i="3"/>
  <c r="D66" i="3"/>
  <c r="H67" i="3"/>
  <c r="H66" i="3"/>
  <c r="L67" i="3"/>
  <c r="L66" i="3"/>
  <c r="P67" i="3"/>
  <c r="P66" i="3"/>
  <c r="E67" i="3"/>
  <c r="E66" i="3"/>
  <c r="I67" i="3"/>
  <c r="I66" i="3"/>
  <c r="M67" i="3"/>
  <c r="M66" i="3"/>
  <c r="Q67" i="3"/>
  <c r="Q66" i="3"/>
  <c r="F67" i="3"/>
  <c r="F66" i="3"/>
  <c r="J67" i="3"/>
  <c r="J66" i="3"/>
  <c r="N67" i="3"/>
  <c r="N66" i="3"/>
  <c r="R67" i="3"/>
  <c r="R66" i="3"/>
  <c r="G66" i="4"/>
  <c r="G67" i="4"/>
  <c r="O66" i="4"/>
  <c r="O67" i="4"/>
  <c r="D67" i="4"/>
  <c r="D66" i="4"/>
  <c r="L67" i="4"/>
  <c r="L66" i="4"/>
  <c r="P67" i="4"/>
  <c r="P66" i="4"/>
  <c r="S66" i="4"/>
  <c r="S67" i="4"/>
  <c r="E66" i="4"/>
  <c r="E67" i="4"/>
  <c r="I67" i="4"/>
  <c r="I66" i="4"/>
  <c r="M66" i="4"/>
  <c r="M67" i="4"/>
  <c r="R67" i="4"/>
  <c r="R66" i="4"/>
  <c r="K66" i="4"/>
  <c r="K67" i="4"/>
  <c r="H67" i="4"/>
  <c r="H66" i="4"/>
  <c r="F67" i="4"/>
  <c r="F66" i="4"/>
  <c r="J67" i="4"/>
  <c r="J66" i="4"/>
  <c r="N66" i="4"/>
  <c r="N67" i="4"/>
  <c r="Q67" i="4"/>
  <c r="Q66" i="4"/>
  <c r="D66" i="5"/>
  <c r="D67" i="5"/>
  <c r="E67" i="5"/>
  <c r="E66" i="5"/>
  <c r="I67" i="5"/>
  <c r="I66" i="5"/>
  <c r="M67" i="5"/>
  <c r="M66" i="5"/>
  <c r="S67" i="5"/>
  <c r="S66" i="5"/>
  <c r="G67" i="5"/>
  <c r="G66" i="5"/>
  <c r="K67" i="5"/>
  <c r="K66" i="5"/>
  <c r="O67" i="5"/>
  <c r="O66" i="5"/>
  <c r="Q67" i="5"/>
  <c r="Q66" i="5"/>
  <c r="H66" i="5"/>
  <c r="H67" i="5"/>
  <c r="L66" i="5"/>
  <c r="L67" i="5"/>
  <c r="P66" i="5"/>
  <c r="P67" i="5"/>
  <c r="F67" i="5"/>
  <c r="F66" i="5"/>
  <c r="J67" i="5"/>
  <c r="J66" i="5"/>
  <c r="N67" i="5"/>
  <c r="N66" i="5"/>
  <c r="R67" i="5"/>
  <c r="R66" i="5"/>
  <c r="I67" i="6"/>
  <c r="I66" i="6"/>
  <c r="M67" i="6"/>
  <c r="M66" i="6"/>
  <c r="D67" i="6"/>
  <c r="D66" i="6"/>
  <c r="H66" i="6"/>
  <c r="H67" i="6"/>
  <c r="L66" i="6"/>
  <c r="L67" i="6"/>
  <c r="P66" i="6"/>
  <c r="P67" i="6"/>
  <c r="S67" i="6"/>
  <c r="S66" i="6"/>
  <c r="J66" i="6"/>
  <c r="J67" i="6"/>
  <c r="Q67" i="6"/>
  <c r="Q66" i="6"/>
  <c r="E67" i="6"/>
  <c r="E66" i="6"/>
  <c r="R66" i="6"/>
  <c r="R67" i="6"/>
  <c r="F66" i="6"/>
  <c r="F67" i="6"/>
  <c r="N66" i="6"/>
  <c r="N67" i="6"/>
  <c r="G67" i="6"/>
  <c r="G66" i="6"/>
  <c r="K67" i="6"/>
  <c r="K66" i="6"/>
  <c r="O67" i="6"/>
  <c r="O66" i="6"/>
  <c r="G74" i="15"/>
  <c r="G62" i="15"/>
  <c r="G61" i="15"/>
  <c r="K74" i="15"/>
  <c r="K62" i="15"/>
  <c r="K61" i="15"/>
  <c r="O74" i="15"/>
  <c r="O62" i="15"/>
  <c r="O61" i="15"/>
  <c r="R74" i="15"/>
  <c r="R62" i="15"/>
  <c r="R61" i="15"/>
  <c r="D74" i="15"/>
  <c r="D62" i="15"/>
  <c r="D61" i="15"/>
  <c r="H74" i="15"/>
  <c r="H62" i="15"/>
  <c r="H61" i="15"/>
  <c r="L74" i="15"/>
  <c r="L62" i="15"/>
  <c r="L61" i="15"/>
  <c r="P74" i="15"/>
  <c r="P62" i="15"/>
  <c r="P61" i="15"/>
  <c r="E74" i="15"/>
  <c r="E62" i="15"/>
  <c r="E61" i="15"/>
  <c r="I74" i="15"/>
  <c r="I62" i="15"/>
  <c r="I61" i="15"/>
  <c r="M74" i="15"/>
  <c r="M62" i="15"/>
  <c r="M61" i="15"/>
  <c r="Q74" i="15"/>
  <c r="Q62" i="15"/>
  <c r="Q61" i="15"/>
  <c r="F74" i="15"/>
  <c r="F62" i="15"/>
  <c r="F61" i="15"/>
  <c r="J74" i="15"/>
  <c r="J62" i="15"/>
  <c r="J61" i="15"/>
  <c r="N74" i="15"/>
  <c r="N62" i="15"/>
  <c r="N61" i="15"/>
  <c r="S74" i="15"/>
  <c r="S62" i="15"/>
  <c r="S61" i="15"/>
  <c r="R8" i="2" l="1"/>
  <c r="Q8" i="2"/>
  <c r="P8" i="2"/>
  <c r="O8" i="2"/>
  <c r="N8" i="2"/>
  <c r="M8" i="2"/>
  <c r="L8" i="2"/>
  <c r="K8" i="2"/>
  <c r="J8" i="2"/>
  <c r="I8" i="2"/>
  <c r="H8" i="2"/>
  <c r="G8" i="2"/>
  <c r="F8" i="2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R7" i="13" l="1"/>
  <c r="R6" i="13"/>
  <c r="R5" i="13"/>
  <c r="R4" i="13"/>
  <c r="R3" i="13"/>
  <c r="R2" i="13"/>
  <c r="P6" i="13"/>
  <c r="P5" i="13"/>
  <c r="P4" i="13"/>
  <c r="P3" i="13"/>
  <c r="B3" i="16" l="1"/>
  <c r="BA29" i="13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1" i="13"/>
  <c r="B2" i="16" s="1"/>
  <c r="BB38" i="9" l="1"/>
  <c r="BB14" i="12"/>
  <c r="BB100" i="11"/>
  <c r="BB38" i="2"/>
  <c r="BB16" i="4"/>
  <c r="BB24" i="5"/>
  <c r="BB12" i="15"/>
  <c r="BB12" i="9"/>
  <c r="BB20" i="11"/>
  <c r="BB26" i="10"/>
  <c r="BB36" i="3"/>
  <c r="BB44" i="4"/>
  <c r="BB20" i="6"/>
  <c r="BB13" i="8"/>
  <c r="BB21" i="12"/>
  <c r="BB15" i="10"/>
  <c r="BB26" i="3"/>
  <c r="BB33" i="4"/>
  <c r="BB51" i="5"/>
  <c r="BB38" i="15"/>
  <c r="BB12" i="12"/>
  <c r="BB56" i="11"/>
  <c r="BB18" i="3"/>
  <c r="BB24" i="4"/>
  <c r="BB33" i="5"/>
  <c r="BB24" i="15"/>
  <c r="BB47" i="9"/>
  <c r="BB22" i="9"/>
  <c r="BB41" i="8"/>
  <c r="BB18" i="8"/>
  <c r="BB40" i="15"/>
  <c r="BB21" i="15"/>
  <c r="BB45" i="6"/>
  <c r="BB25" i="6"/>
  <c r="BB52" i="5"/>
  <c r="BB29" i="5"/>
  <c r="BB13" i="5"/>
  <c r="BB34" i="4"/>
  <c r="BB17" i="4"/>
  <c r="BB40" i="3"/>
  <c r="BB21" i="3"/>
  <c r="BB41" i="10"/>
  <c r="BB21" i="10"/>
  <c r="BB55" i="11"/>
  <c r="BB19" i="11"/>
  <c r="BB24" i="12"/>
  <c r="BB30" i="9"/>
  <c r="BB11" i="9"/>
  <c r="BB27" i="8"/>
  <c r="BB48" i="15"/>
  <c r="BB27" i="15"/>
  <c r="BB10" i="15"/>
  <c r="BB32" i="6"/>
  <c r="BB15" i="6"/>
  <c r="BB37" i="5"/>
  <c r="BB19" i="5"/>
  <c r="BB42" i="4"/>
  <c r="BB23" i="4"/>
  <c r="BB48" i="3"/>
  <c r="BB27" i="3"/>
  <c r="BB10" i="3"/>
  <c r="BB29" i="10"/>
  <c r="BB10" i="10"/>
  <c r="BB38" i="11"/>
  <c r="BB13" i="11"/>
  <c r="BB17" i="12"/>
  <c r="BB29" i="9"/>
  <c r="BB23" i="12"/>
  <c r="BB53" i="11"/>
  <c r="BB43" i="10"/>
  <c r="BB41" i="3"/>
  <c r="BB36" i="4"/>
  <c r="BB31" i="5"/>
  <c r="BB26" i="6"/>
  <c r="BB22" i="15"/>
  <c r="BB20" i="8"/>
  <c r="BB33" i="9"/>
  <c r="BB22" i="6"/>
  <c r="BB18" i="15"/>
  <c r="BB15" i="8"/>
  <c r="BB21" i="9"/>
  <c r="BB31" i="12"/>
  <c r="BB8" i="10"/>
  <c r="BB20" i="3"/>
  <c r="BB28" i="4"/>
  <c r="BB38" i="5"/>
  <c r="BB16" i="11"/>
  <c r="BB20" i="10"/>
  <c r="BB33" i="3"/>
  <c r="BB41" i="4"/>
  <c r="BB16" i="6"/>
  <c r="BB8" i="8"/>
  <c r="BB18" i="12"/>
  <c r="BB102" i="11"/>
  <c r="BB12" i="3"/>
  <c r="BB20" i="4"/>
  <c r="BB26" i="5"/>
  <c r="BB16" i="15"/>
  <c r="BB16" i="9"/>
  <c r="BB23" i="11"/>
  <c r="BB40" i="10"/>
  <c r="BB12" i="4"/>
  <c r="BB18" i="5"/>
  <c r="BB44" i="6"/>
  <c r="BB40" i="8"/>
  <c r="BB14" i="11"/>
  <c r="BB30" i="10"/>
  <c r="BB44" i="3"/>
  <c r="BB53" i="4"/>
  <c r="BB28" i="6"/>
  <c r="BB22" i="8"/>
  <c r="BB35" i="9"/>
  <c r="BB13" i="9"/>
  <c r="BB31" i="8"/>
  <c r="BB10" i="8"/>
  <c r="BB29" i="15"/>
  <c r="BB13" i="15"/>
  <c r="BB34" i="6"/>
  <c r="BB17" i="6"/>
  <c r="BB40" i="5"/>
  <c r="BB21" i="5"/>
  <c r="BB45" i="4"/>
  <c r="BB25" i="4"/>
  <c r="BB52" i="3"/>
  <c r="BB29" i="3"/>
  <c r="BB13" i="3"/>
  <c r="BB31" i="10"/>
  <c r="BB12" i="10"/>
  <c r="BB36" i="11"/>
  <c r="BB11" i="11"/>
  <c r="BB44" i="9"/>
  <c r="BB20" i="9"/>
  <c r="BB38" i="8"/>
  <c r="BB16" i="8"/>
  <c r="BB37" i="15"/>
  <c r="BB19" i="15"/>
  <c r="BB42" i="6"/>
  <c r="BB23" i="6"/>
  <c r="BB48" i="5"/>
  <c r="BB27" i="5"/>
  <c r="BB10" i="5"/>
  <c r="BB32" i="4"/>
  <c r="BB15" i="4"/>
  <c r="BB37" i="3"/>
  <c r="BB19" i="3"/>
  <c r="BB39" i="10"/>
  <c r="BB18" i="10"/>
  <c r="BB99" i="11"/>
  <c r="BB22" i="11"/>
  <c r="BB26" i="12"/>
  <c r="BB41" i="9"/>
  <c r="BB18" i="9"/>
  <c r="BB18" i="11"/>
  <c r="BB22" i="10"/>
  <c r="BB22" i="3"/>
  <c r="BB18" i="4"/>
  <c r="BB14" i="5"/>
  <c r="BB53" i="5"/>
  <c r="BB46" i="6"/>
  <c r="BB41" i="15"/>
  <c r="BB42" i="8"/>
  <c r="BB46" i="5"/>
  <c r="BB41" i="6"/>
  <c r="BB36" i="15"/>
  <c r="BB37" i="8"/>
  <c r="BB37" i="11"/>
  <c r="BB33" i="6"/>
  <c r="BB35" i="12"/>
  <c r="BB24" i="3"/>
  <c r="BB44" i="5"/>
  <c r="BB10" i="12"/>
  <c r="BB16" i="3"/>
  <c r="BB28" i="5"/>
  <c r="BB27" i="9"/>
  <c r="BB10" i="2"/>
  <c r="BB20" i="5"/>
  <c r="BB45" i="8"/>
  <c r="BB8" i="9"/>
  <c r="BB45" i="15"/>
  <c r="BB52" i="6"/>
  <c r="BB13" i="6"/>
  <c r="BB17" i="5"/>
  <c r="BB21" i="4"/>
  <c r="BB25" i="3"/>
  <c r="BB27" i="10"/>
  <c r="BB24" i="11"/>
  <c r="BB37" i="9"/>
  <c r="BB33" i="8"/>
  <c r="BB32" i="15"/>
  <c r="BB37" i="6"/>
  <c r="BB42" i="5"/>
  <c r="BB48" i="4"/>
  <c r="BB10" i="4"/>
  <c r="BB15" i="3"/>
  <c r="BB14" i="10"/>
  <c r="BB17" i="11"/>
  <c r="BB36" i="9"/>
  <c r="BB29" i="11"/>
  <c r="BB31" i="3"/>
  <c r="BB22" i="5"/>
  <c r="BB14" i="15"/>
  <c r="BB14" i="9"/>
  <c r="BB53" i="6"/>
  <c r="BB10" i="9"/>
  <c r="BB35" i="10"/>
  <c r="BB28" i="15"/>
  <c r="BB46" i="11"/>
  <c r="BB51" i="3"/>
  <c r="BB38" i="6"/>
  <c r="BB12" i="11"/>
  <c r="BB38" i="3"/>
  <c r="BB24" i="6"/>
  <c r="BB25" i="12"/>
  <c r="BB28" i="3"/>
  <c r="BB12" i="6"/>
  <c r="BB40" i="9"/>
  <c r="BB36" i="8"/>
  <c r="BB34" i="15"/>
  <c r="BB40" i="6"/>
  <c r="BB45" i="5"/>
  <c r="BB52" i="4"/>
  <c r="BB13" i="4"/>
  <c r="BB17" i="3"/>
  <c r="BB16" i="10"/>
  <c r="BB15" i="11"/>
  <c r="BB26" i="9"/>
  <c r="BB21" i="8"/>
  <c r="BB23" i="15"/>
  <c r="BB27" i="6"/>
  <c r="BB32" i="5"/>
  <c r="BB37" i="4"/>
  <c r="BB42" i="3"/>
  <c r="BB8" i="2"/>
  <c r="BB104" i="11"/>
  <c r="BB8" i="11"/>
  <c r="BB24" i="9"/>
  <c r="BB13" i="10"/>
  <c r="BB53" i="3"/>
  <c r="BB41" i="5"/>
  <c r="BB31" i="15"/>
  <c r="BB36" i="5"/>
  <c r="BB26" i="15"/>
  <c r="BB45" i="9"/>
  <c r="BB46" i="3"/>
  <c r="BB30" i="8"/>
  <c r="BB11" i="10"/>
  <c r="BB31" i="4"/>
  <c r="BB33" i="15"/>
  <c r="BB49" i="11"/>
  <c r="BB22" i="4"/>
  <c r="BB20" i="15"/>
  <c r="BB26" i="11"/>
  <c r="BB14" i="4"/>
  <c r="BB51" i="6"/>
  <c r="BB28" i="9"/>
  <c r="BB24" i="8"/>
  <c r="BB25" i="15"/>
  <c r="BB29" i="6"/>
  <c r="BB34" i="5"/>
  <c r="BB40" i="4"/>
  <c r="BB45" i="3"/>
  <c r="BB16" i="2"/>
  <c r="BB101" i="11"/>
  <c r="BB32" i="12"/>
  <c r="BB15" i="9"/>
  <c r="BB12" i="8"/>
  <c r="BB15" i="15"/>
  <c r="BB19" i="6"/>
  <c r="BB23" i="5"/>
  <c r="BB27" i="4"/>
  <c r="BB32" i="3"/>
  <c r="BB34" i="10"/>
  <c r="BB50" i="11"/>
  <c r="BB22" i="12"/>
  <c r="BB13" i="12"/>
  <c r="BB33" i="10"/>
  <c r="BB26" i="4"/>
  <c r="BB18" i="6"/>
  <c r="BB11" i="8"/>
  <c r="BB14" i="6"/>
  <c r="BB46" i="15"/>
  <c r="BB12" i="5"/>
  <c r="BB9" i="12"/>
  <c r="BB38" i="10"/>
  <c r="BB16" i="5"/>
  <c r="BB35" i="8"/>
  <c r="BB28" i="10"/>
  <c r="BB51" i="4"/>
  <c r="BB17" i="8"/>
  <c r="BB17" i="10"/>
  <c r="BB38" i="4"/>
  <c r="BB44" i="15"/>
  <c r="BB17" i="9"/>
  <c r="BB14" i="8"/>
  <c r="BB17" i="15"/>
  <c r="BB21" i="6"/>
  <c r="BB25" i="5"/>
  <c r="BB29" i="4"/>
  <c r="BB34" i="3"/>
  <c r="BB36" i="10"/>
  <c r="BB48" i="11"/>
  <c r="BB20" i="12"/>
  <c r="BB43" i="8"/>
  <c r="BB42" i="15"/>
  <c r="BB48" i="6"/>
  <c r="BB10" i="6"/>
  <c r="BB15" i="5"/>
  <c r="BB19" i="4"/>
  <c r="BB23" i="3"/>
  <c r="BB24" i="10"/>
  <c r="BB28" i="11"/>
  <c r="BB11" i="12"/>
  <c r="BB10" i="11"/>
  <c r="BB14" i="3"/>
  <c r="BB46" i="4"/>
  <c r="BB36" i="6"/>
  <c r="BB32" i="8"/>
  <c r="BB31" i="6"/>
  <c r="BB26" i="8"/>
  <c r="C55" i="3"/>
  <c r="C55" i="4"/>
  <c r="C55" i="5"/>
  <c r="C55" i="6"/>
  <c r="AI1" i="2" l="1"/>
  <c r="AJ1" i="2" s="1"/>
  <c r="AK1" i="2" s="1"/>
  <c r="AL1" i="2" s="1"/>
  <c r="AM1" i="2" s="1"/>
  <c r="AN1" i="2" s="1"/>
  <c r="AO1" i="2" s="1"/>
  <c r="AP1" i="2" s="1"/>
  <c r="AQ1" i="2" s="1"/>
  <c r="AR1" i="2" s="1"/>
  <c r="AS1" i="2" s="1"/>
  <c r="AT1" i="2" s="1"/>
  <c r="AU1" i="2" s="1"/>
  <c r="AH1" i="3"/>
  <c r="AI1" i="3" s="1"/>
  <c r="AJ1" i="3" s="1"/>
  <c r="AK1" i="3" s="1"/>
  <c r="AL1" i="3" s="1"/>
  <c r="AM1" i="3" s="1"/>
  <c r="AN1" i="3" s="1"/>
  <c r="AO1" i="3" s="1"/>
  <c r="AP1" i="3" s="1"/>
  <c r="AQ1" i="3" s="1"/>
  <c r="AR1" i="3" s="1"/>
  <c r="AS1" i="3" s="1"/>
  <c r="AT1" i="3" s="1"/>
  <c r="AH1" i="4"/>
  <c r="AI1" i="4" s="1"/>
  <c r="AJ1" i="4" s="1"/>
  <c r="AK1" i="4" s="1"/>
  <c r="AL1" i="4" s="1"/>
  <c r="AM1" i="4" s="1"/>
  <c r="AN1" i="4" s="1"/>
  <c r="AO1" i="4" s="1"/>
  <c r="AP1" i="4" s="1"/>
  <c r="AQ1" i="4" s="1"/>
  <c r="AR1" i="4" s="1"/>
  <c r="AS1" i="4" s="1"/>
  <c r="AT1" i="4" s="1"/>
  <c r="AH1" i="5"/>
  <c r="AI1" i="5" s="1"/>
  <c r="AJ1" i="5" s="1"/>
  <c r="AK1" i="5" s="1"/>
  <c r="AL1" i="5" s="1"/>
  <c r="AM1" i="5" s="1"/>
  <c r="AN1" i="5" s="1"/>
  <c r="AO1" i="5" s="1"/>
  <c r="AP1" i="5" s="1"/>
  <c r="AQ1" i="5" s="1"/>
  <c r="AR1" i="5" s="1"/>
  <c r="AS1" i="5" s="1"/>
  <c r="AT1" i="5" s="1"/>
  <c r="AH1" i="6"/>
  <c r="AI1" i="6" s="1"/>
  <c r="AJ1" i="6" s="1"/>
  <c r="AK1" i="6" s="1"/>
  <c r="AL1" i="6" s="1"/>
  <c r="AM1" i="6" s="1"/>
  <c r="AN1" i="6" s="1"/>
  <c r="AO1" i="6" s="1"/>
  <c r="AP1" i="6" s="1"/>
  <c r="AQ1" i="6" s="1"/>
  <c r="AR1" i="6" s="1"/>
  <c r="AS1" i="6" s="1"/>
  <c r="AT1" i="6" s="1"/>
  <c r="AH1" i="15"/>
  <c r="AI1" i="15" s="1"/>
  <c r="AJ1" i="15" s="1"/>
  <c r="AK1" i="15" s="1"/>
  <c r="AL1" i="15" s="1"/>
  <c r="AM1" i="15" s="1"/>
  <c r="AN1" i="15" s="1"/>
  <c r="AO1" i="15" s="1"/>
  <c r="AP1" i="15" s="1"/>
  <c r="AQ1" i="15" s="1"/>
  <c r="AR1" i="15" s="1"/>
  <c r="AS1" i="15" s="1"/>
  <c r="AT1" i="15" s="1"/>
  <c r="AH1" i="8"/>
  <c r="AI1" i="8" s="1"/>
  <c r="AJ1" i="8" s="1"/>
  <c r="AK1" i="8" s="1"/>
  <c r="AL1" i="8" s="1"/>
  <c r="AM1" i="8" s="1"/>
  <c r="AN1" i="8" s="1"/>
  <c r="AO1" i="8" s="1"/>
  <c r="AP1" i="8" s="1"/>
  <c r="AQ1" i="8" s="1"/>
  <c r="AR1" i="8" s="1"/>
  <c r="AS1" i="8" s="1"/>
  <c r="AT1" i="8" s="1"/>
  <c r="AH1" i="9"/>
  <c r="AI1" i="9" s="1"/>
  <c r="AJ1" i="9" s="1"/>
  <c r="AK1" i="9" s="1"/>
  <c r="AL1" i="9" s="1"/>
  <c r="AM1" i="9" s="1"/>
  <c r="AN1" i="9" s="1"/>
  <c r="AO1" i="9" s="1"/>
  <c r="AP1" i="9" s="1"/>
  <c r="AQ1" i="9" s="1"/>
  <c r="AR1" i="9" s="1"/>
  <c r="AS1" i="9" s="1"/>
  <c r="AT1" i="9" s="1"/>
  <c r="AH1" i="10"/>
  <c r="AI1" i="10" s="1"/>
  <c r="AJ1" i="10" s="1"/>
  <c r="AK1" i="10" s="1"/>
  <c r="AL1" i="10" s="1"/>
  <c r="AM1" i="10" s="1"/>
  <c r="AN1" i="10" s="1"/>
  <c r="AO1" i="10" s="1"/>
  <c r="AP1" i="10" s="1"/>
  <c r="AQ1" i="10" s="1"/>
  <c r="AR1" i="10" s="1"/>
  <c r="AS1" i="10" s="1"/>
  <c r="AT1" i="10" s="1"/>
  <c r="AI1" i="11" l="1"/>
  <c r="AJ1" i="11" s="1"/>
  <c r="AK1" i="11" s="1"/>
  <c r="AL1" i="11" s="1"/>
  <c r="AM1" i="11" s="1"/>
  <c r="AN1" i="11" s="1"/>
  <c r="AO1" i="11" s="1"/>
  <c r="AP1" i="11" s="1"/>
  <c r="AQ1" i="11" s="1"/>
  <c r="AR1" i="11" s="1"/>
  <c r="AS1" i="11" s="1"/>
  <c r="AT1" i="11" s="1"/>
  <c r="AG1" i="12"/>
  <c r="AH1" i="12" s="1"/>
  <c r="AI1" i="12" s="1"/>
  <c r="AJ1" i="12" s="1"/>
  <c r="AK1" i="12" s="1"/>
  <c r="AL1" i="12" s="1"/>
  <c r="AM1" i="12" s="1"/>
  <c r="AN1" i="12" s="1"/>
  <c r="AO1" i="12" s="1"/>
  <c r="AP1" i="12" s="1"/>
  <c r="AQ1" i="12" s="1"/>
  <c r="AR1" i="12" s="1"/>
  <c r="D7" i="5" l="1"/>
  <c r="E7" i="5" s="1"/>
  <c r="F7" i="5" s="1"/>
  <c r="G7" i="5" s="1"/>
  <c r="H7" i="5" s="1"/>
  <c r="I7" i="5" s="1"/>
  <c r="J7" i="5" s="1"/>
  <c r="K7" i="5" s="1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X7" i="5" s="1"/>
  <c r="D7" i="4"/>
  <c r="E7" i="4" s="1"/>
  <c r="F7" i="4" s="1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D7" i="3"/>
  <c r="E7" i="3" s="1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D7" i="6"/>
  <c r="E7" i="6" s="1"/>
  <c r="F7" i="6" s="1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D7" i="15"/>
  <c r="E7" i="15" s="1"/>
  <c r="F7" i="15" s="1"/>
  <c r="G7" i="15" s="1"/>
  <c r="H7" i="15" s="1"/>
  <c r="I7" i="15" s="1"/>
  <c r="J7" i="15" s="1"/>
  <c r="K7" i="15" s="1"/>
  <c r="L7" i="15" s="1"/>
  <c r="M7" i="15" s="1"/>
  <c r="N7" i="15" s="1"/>
  <c r="O7" i="15" s="1"/>
  <c r="P7" i="15" s="1"/>
  <c r="Q7" i="15" s="1"/>
  <c r="R7" i="15" s="1"/>
  <c r="S7" i="15" s="1"/>
  <c r="T7" i="15" s="1"/>
  <c r="U7" i="15" s="1"/>
  <c r="V7" i="15" s="1"/>
  <c r="W7" i="15" s="1"/>
  <c r="X7" i="15" s="1"/>
  <c r="D5" i="10"/>
  <c r="E5" i="10" s="1"/>
  <c r="F5" i="10" s="1"/>
  <c r="G5" i="10" s="1"/>
  <c r="H5" i="10" s="1"/>
  <c r="I5" i="10" s="1"/>
  <c r="J5" i="10" s="1"/>
  <c r="K5" i="10" s="1"/>
  <c r="L5" i="10" s="1"/>
  <c r="M5" i="10" s="1"/>
  <c r="N5" i="10" s="1"/>
  <c r="O5" i="10" s="1"/>
  <c r="P5" i="10" s="1"/>
  <c r="Q5" i="10" s="1"/>
  <c r="R5" i="10" s="1"/>
  <c r="S5" i="10" s="1"/>
  <c r="T5" i="10" s="1"/>
  <c r="U5" i="10" s="1"/>
  <c r="V5" i="10" s="1"/>
  <c r="W5" i="10" s="1"/>
  <c r="X5" i="10" s="1"/>
  <c r="D5" i="11"/>
  <c r="E5" i="11" s="1"/>
  <c r="F5" i="11" s="1"/>
  <c r="G5" i="11" s="1"/>
  <c r="H5" i="11" s="1"/>
  <c r="I5" i="11" s="1"/>
  <c r="J5" i="11" s="1"/>
  <c r="K5" i="11" s="1"/>
  <c r="L5" i="11" s="1"/>
  <c r="M5" i="11" s="1"/>
  <c r="N5" i="11" s="1"/>
  <c r="O5" i="11" s="1"/>
  <c r="P5" i="11" s="1"/>
  <c r="Q5" i="11" s="1"/>
  <c r="R5" i="11" s="1"/>
  <c r="S5" i="11" s="1"/>
  <c r="T5" i="11" s="1"/>
  <c r="U5" i="11" s="1"/>
  <c r="V5" i="11" s="1"/>
  <c r="W5" i="11" s="1"/>
  <c r="X5" i="11" s="1"/>
  <c r="F5" i="12"/>
  <c r="G5" i="12" s="1"/>
  <c r="H5" i="12" l="1"/>
  <c r="I5" i="12" l="1"/>
  <c r="J5" i="12" l="1"/>
  <c r="K5" i="12" s="1"/>
  <c r="L5" i="12" s="1"/>
  <c r="M5" i="12" s="1"/>
  <c r="N5" i="12" s="1"/>
  <c r="O5" i="12" s="1"/>
  <c r="P5" i="12" s="1"/>
  <c r="Q5" i="12" s="1"/>
  <c r="R5" i="12" s="1"/>
  <c r="S5" i="12" s="1"/>
  <c r="T5" i="12" l="1"/>
  <c r="U5" i="12" s="1"/>
  <c r="V5" i="12" s="1"/>
  <c r="W5" i="12" s="1"/>
  <c r="X5" i="12" s="1"/>
  <c r="Y5" i="12" s="1"/>
  <c r="D5" i="9" l="1"/>
  <c r="E5" i="9" s="1"/>
  <c r="F5" i="9" s="1"/>
  <c r="G5" i="9" s="1"/>
  <c r="H5" i="9" s="1"/>
  <c r="I5" i="9" s="1"/>
  <c r="J5" i="9" s="1"/>
  <c r="K5" i="9" s="1"/>
  <c r="L5" i="9" s="1"/>
  <c r="M5" i="9" s="1"/>
  <c r="N5" i="9" s="1"/>
  <c r="O5" i="9" s="1"/>
  <c r="P5" i="9" s="1"/>
  <c r="Q5" i="9" s="1"/>
  <c r="R5" i="9" s="1"/>
  <c r="S5" i="9" s="1"/>
  <c r="T5" i="9" s="1"/>
  <c r="U5" i="9" s="1"/>
  <c r="V5" i="9" s="1"/>
  <c r="W5" i="9" s="1"/>
  <c r="X5" i="9" s="1"/>
  <c r="F6" i="2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D5" i="8"/>
  <c r="E5" i="8" s="1"/>
  <c r="F5" i="8" s="1"/>
  <c r="G5" i="8" s="1"/>
  <c r="H5" i="8" s="1"/>
  <c r="I5" i="8" s="1"/>
  <c r="J5" i="8" s="1"/>
  <c r="K5" i="8" s="1"/>
  <c r="L5" i="8" s="1"/>
  <c r="M5" i="8" s="1"/>
  <c r="N5" i="8" s="1"/>
  <c r="O5" i="8" s="1"/>
  <c r="P5" i="8" s="1"/>
  <c r="Q5" i="8" s="1"/>
  <c r="R5" i="8" s="1"/>
  <c r="S5" i="8" s="1"/>
  <c r="T5" i="8" s="1"/>
  <c r="U5" i="8" s="1"/>
  <c r="V5" i="8" s="1"/>
  <c r="W5" i="8" s="1"/>
  <c r="X5" i="8" s="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sharedStrings.xml><?xml version="1.0" encoding="utf-8"?>
<sst xmlns="http://schemas.openxmlformats.org/spreadsheetml/2006/main" count="3117" uniqueCount="1175">
  <si>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</si>
  <si>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</si>
  <si>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</si>
  <si>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</si>
  <si>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</si>
  <si>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</si>
  <si>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</si>
  <si>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</si>
  <si>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</si>
  <si>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</si>
  <si>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</si>
  <si>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</si>
  <si>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</si>
  <si>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</si>
  <si>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</si>
  <si>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</si>
  <si>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</si>
  <si>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</si>
  <si>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</si>
  <si>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</si>
  <si>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</si>
  <si>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</si>
  <si>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</si>
  <si>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</si>
  <si>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</si>
  <si>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</si>
  <si>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</si>
  <si>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</si>
  <si>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</si>
  <si>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</si>
  <si>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</si>
  <si>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</si>
  <si>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</si>
  <si>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</si>
  <si>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</si>
  <si>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</si>
  <si>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</si>
  <si>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</si>
  <si>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</si>
  <si>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</si>
  <si>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</si>
  <si>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</si>
  <si>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</si>
  <si>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</si>
  <si>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</si>
  <si>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</si>
  <si>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</si>
  <si>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</si>
  <si>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</si>
  <si>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</si>
  <si>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</si>
  <si>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</si>
  <si>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</si>
  <si>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</si>
  <si>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</si>
  <si>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</si>
  <si>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</si>
  <si>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</si>
  <si>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</si>
  <si>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</si>
  <si>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</si>
  <si>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</si>
  <si>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</si>
  <si>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</si>
  <si>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</si>
  <si>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</si>
  <si>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</si>
  <si>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</si>
  <si>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</si>
  <si>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</si>
  <si>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</si>
  <si>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</si>
  <si>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</si>
  <si>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</si>
  <si>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</si>
  <si>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</si>
  <si>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</si>
  <si>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</si>
  <si>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</si>
  <si>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</si>
  <si>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</si>
  <si>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</si>
  <si>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</si>
  <si>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</si>
  <si>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</si>
  <si>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</si>
  <si>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</si>
  <si>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</si>
  <si>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</si>
  <si>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</si>
  <si>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</si>
  <si>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</si>
  <si>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</si>
  <si>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</si>
  <si>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</si>
  <si>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</si>
  <si>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</si>
  <si>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</si>
  <si>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</si>
  <si>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</si>
  <si>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</si>
  <si>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</si>
  <si>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</si>
  <si>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</si>
  <si>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</si>
  <si>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</si>
  <si>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</si>
  <si>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</si>
  <si>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</si>
  <si>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</si>
  <si>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</si>
  <si>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</si>
  <si>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</si>
  <si>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</si>
  <si>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</si>
  <si>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</si>
  <si>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</si>
  <si>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</si>
  <si>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</si>
  <si>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</si>
  <si>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</si>
  <si>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</si>
  <si>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</si>
  <si>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</si>
  <si>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</si>
  <si>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</si>
  <si>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</si>
  <si>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</si>
  <si>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</si>
  <si>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</si>
  <si>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</si>
  <si>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</si>
  <si>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</si>
  <si>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</si>
  <si>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</si>
  <si>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</si>
  <si>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</si>
  <si>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</si>
  <si>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</si>
  <si>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</si>
  <si>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</si>
  <si>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</si>
  <si>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</si>
  <si>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</si>
  <si>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</si>
  <si>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</si>
  <si>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</si>
  <si>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</si>
  <si>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</si>
  <si>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</si>
  <si>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</si>
  <si>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</si>
  <si>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</si>
  <si>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</si>
  <si>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</si>
  <si>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</si>
  <si>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</si>
  <si>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</si>
  <si>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</si>
  <si>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</si>
  <si>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</si>
  <si>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</si>
  <si>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</si>
  <si>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</si>
  <si>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</si>
  <si>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</si>
  <si>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</si>
  <si>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</si>
  <si>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</si>
  <si>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</si>
  <si>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</si>
  <si>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</si>
  <si>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</si>
  <si>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</si>
  <si>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</si>
  <si>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</si>
  <si>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</si>
  <si>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</si>
  <si>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</si>
  <si>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</si>
  <si>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</si>
  <si>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</si>
  <si>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</si>
  <si>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</si>
  <si>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</si>
  <si>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</si>
  <si>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</si>
  <si>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</si>
  <si>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</si>
  <si>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</si>
  <si>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</si>
  <si>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</si>
  <si>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</si>
  <si>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</si>
  <si>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</si>
  <si>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</si>
  <si>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</si>
  <si>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</si>
  <si>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</si>
  <si>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</si>
  <si>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</si>
  <si>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</si>
  <si>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</si>
  <si>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</si>
  <si>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</si>
  <si>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</si>
  <si>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</si>
  <si>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</si>
  <si>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</si>
  <si>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</si>
  <si>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</si>
  <si>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</si>
  <si>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</si>
  <si>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</si>
  <si>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</si>
  <si>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</si>
  <si>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</si>
  <si>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</si>
  <si>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</si>
  <si>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</si>
  <si>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</si>
  <si>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</si>
  <si>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</si>
  <si>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</si>
  <si>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</si>
  <si>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</si>
  <si>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</si>
  <si>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</si>
  <si>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</si>
  <si>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</si>
  <si>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</si>
  <si>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</si>
  <si>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</si>
  <si>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</si>
  <si>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</si>
  <si>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</si>
  <si>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</si>
  <si>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</si>
  <si>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</si>
  <si>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</si>
  <si>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</si>
  <si>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</si>
  <si>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</si>
  <si>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</si>
  <si>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</si>
  <si>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</si>
  <si>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</si>
  <si>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</si>
  <si>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</si>
  <si>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</si>
  <si>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</si>
  <si>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</si>
  <si>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</si>
  <si>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</si>
  <si>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</si>
  <si>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</si>
  <si>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</si>
  <si>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</si>
  <si>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</si>
  <si>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</si>
  <si>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</si>
  <si>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</si>
  <si>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</si>
  <si>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</si>
  <si>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</si>
  <si>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</si>
  <si>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</si>
  <si>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</si>
  <si>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</si>
  <si>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</si>
  <si>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</si>
  <si>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</si>
  <si>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</si>
  <si>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</si>
  <si>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</si>
  <si>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</si>
  <si>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</si>
  <si>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</si>
  <si>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</si>
  <si>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</si>
  <si>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</si>
  <si>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</si>
  <si>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</si>
  <si>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</si>
  <si>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</si>
  <si>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</si>
  <si>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</si>
  <si>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</si>
  <si>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</si>
  <si>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</si>
  <si>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</si>
  <si>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</si>
  <si>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</si>
  <si>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</si>
  <si>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</si>
  <si>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</si>
  <si>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</si>
  <si>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</si>
  <si>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</si>
  <si>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</si>
  <si>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</si>
  <si>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</si>
  <si>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</si>
  <si>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</si>
  <si>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</si>
  <si>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</si>
  <si>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</si>
  <si>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</si>
  <si>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</si>
  <si>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</si>
  <si>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</si>
  <si>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</si>
  <si>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</si>
  <si>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</si>
  <si>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</si>
  <si>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</si>
  <si>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</si>
  <si>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</si>
  <si>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</si>
  <si>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</si>
  <si>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</si>
  <si>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</si>
  <si>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</si>
  <si>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</si>
  <si>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</si>
  <si>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</si>
  <si>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</si>
  <si>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</si>
  <si>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</si>
  <si>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</si>
  <si>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</si>
  <si>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</si>
  <si>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</si>
  <si>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</si>
  <si>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</si>
  <si>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</si>
  <si>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</si>
  <si>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</si>
  <si>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</si>
  <si>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</si>
  <si>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</si>
  <si>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</si>
  <si>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</si>
  <si>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</si>
  <si>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</si>
  <si>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</si>
  <si>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</si>
  <si>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</si>
  <si>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</si>
  <si>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</si>
  <si>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</si>
  <si>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</si>
  <si>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</si>
  <si>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</si>
  <si>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</si>
  <si>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</si>
  <si>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</si>
  <si>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</si>
  <si>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</si>
  <si>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</si>
  <si>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</si>
  <si>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</si>
  <si>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</si>
  <si>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</si>
  <si>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</si>
  <si>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</si>
  <si>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</si>
  <si>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</si>
  <si>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</si>
  <si>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</si>
  <si>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</si>
  <si>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</si>
  <si>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</si>
  <si>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</si>
  <si>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</si>
  <si>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</si>
  <si>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</si>
  <si>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</si>
  <si>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</si>
  <si>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</si>
  <si>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</si>
  <si>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</si>
  <si>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</si>
  <si>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</si>
  <si>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</si>
  <si>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</si>
  <si>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</si>
  <si>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</si>
  <si>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</si>
  <si>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</si>
  <si>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</si>
  <si>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</si>
  <si>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</si>
  <si>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</si>
  <si>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</si>
  <si>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</si>
  <si>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</si>
  <si>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</si>
  <si>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</si>
  <si>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</si>
  <si>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</si>
  <si>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</si>
  <si>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</si>
  <si>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</si>
  <si>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</si>
  <si>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</si>
  <si>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</si>
  <si>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</si>
  <si>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</si>
  <si>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</si>
  <si>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</si>
  <si>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</si>
  <si>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</si>
  <si>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</si>
  <si>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</si>
  <si>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</si>
  <si>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</si>
  <si>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</si>
  <si>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</si>
  <si>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</si>
  <si>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</si>
  <si>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</si>
  <si>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</si>
  <si>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</si>
  <si>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</si>
  <si>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</si>
  <si>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</si>
  <si>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</si>
  <si>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</si>
  <si>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</si>
  <si>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</si>
  <si>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</si>
  <si>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</si>
  <si>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</si>
  <si>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</si>
  <si>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</si>
  <si>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</si>
  <si>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</si>
  <si>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</si>
  <si>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</si>
  <si>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</si>
  <si>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</si>
  <si>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</si>
  <si>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</si>
  <si>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</si>
  <si>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</si>
  <si>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</si>
  <si>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</si>
  <si>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</si>
  <si>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</si>
  <si>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</si>
  <si>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</si>
  <si>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</si>
  <si>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</si>
  <si>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</si>
  <si>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</si>
  <si>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</si>
  <si>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</si>
  <si>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</si>
  <si>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</si>
  <si>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</si>
  <si>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</si>
  <si>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</si>
  <si>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</si>
  <si>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</si>
  <si>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</si>
  <si>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</si>
  <si>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</si>
  <si>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</si>
  <si>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</si>
  <si>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</si>
  <si>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</si>
  <si>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</si>
  <si>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</si>
  <si>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</si>
  <si>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</si>
  <si>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</si>
  <si>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</si>
  <si>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</si>
  <si>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</si>
  <si>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</si>
  <si>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</si>
  <si>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</si>
  <si>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</si>
  <si>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</si>
  <si>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</si>
  <si>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</si>
  <si>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</si>
  <si>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</si>
  <si>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</si>
  <si>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</si>
  <si>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</si>
  <si>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</si>
  <si>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</si>
  <si>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</si>
  <si>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</si>
  <si>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</si>
  <si>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</si>
  <si>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</si>
  <si>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</si>
  <si>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</si>
  <si>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</si>
  <si>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</si>
  <si>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</si>
  <si>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</si>
  <si>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</si>
  <si>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</si>
  <si>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</si>
  <si>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</si>
  <si>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</si>
  <si>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</si>
  <si>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</si>
  <si>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</si>
  <si>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</si>
  <si>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</si>
  <si>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</si>
  <si>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</si>
  <si>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</si>
  <si>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</si>
  <si>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</si>
  <si>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</si>
  <si>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</si>
  <si>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</si>
  <si>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</si>
  <si>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</si>
  <si>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</si>
  <si>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</si>
  <si>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</si>
  <si>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</si>
  <si>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</si>
  <si>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</si>
  <si>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</si>
  <si>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</si>
  <si>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</si>
  <si>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</si>
  <si>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</si>
  <si>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</si>
  <si>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</si>
  <si>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</si>
  <si>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</si>
  <si>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</si>
  <si>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</si>
  <si>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</si>
  <si>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</si>
  <si>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</si>
  <si>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</si>
  <si>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</si>
  <si>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</si>
  <si>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</si>
  <si>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</si>
  <si>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</si>
  <si>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</si>
  <si>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</si>
  <si>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</si>
  <si>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</si>
  <si>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</si>
  <si>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</si>
  <si>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</si>
  <si>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</si>
  <si>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</si>
  <si>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T3.B9.S13+T3.B9_SD.S13 = (T3.B9.S1311+T3.B9_SD.S1311) - (T3.B9.S1312+T3.B9_SD.S1312) - (T3.B9.S1313+T3.B9_SD.S1313) - (T3.B9.S1314+T3.B9_SD.S1314)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</si>
  <si>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</si>
  <si>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</si>
  <si>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</si>
  <si>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</si>
  <si>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</si>
  <si>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</si>
  <si>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</si>
  <si>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</si>
  <si>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</si>
  <si>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</si>
  <si>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</si>
  <si>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</si>
  <si>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Table 1: Reporting of government surplus/ deficit and debt levels and provision of associated data.</t>
  </si>
  <si>
    <t>Tables 3A to 3E: Provision of the data which explain the contributions of the government surplus/ deficit and the other relevant factors to the variation in the government debt level, and the consolidation of debt (general government and general government subsectors).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</si>
  <si>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</si>
  <si>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</si>
  <si>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 xml:space="preserve">Net lending (+)/ net borrowing (-) of other central government bodies </t>
  </si>
  <si>
    <t>Table 2B: Provision of the data which explain the transition between the working balance and the state government surplus/ deficit</t>
  </si>
  <si>
    <t>Net lending (+)/ net borrowing (-) of other state government bodies</t>
  </si>
  <si>
    <t>Table 2C: Provision of the data which explain the transition between the working balance and the local government surplus/ deficit</t>
  </si>
  <si>
    <t xml:space="preserve">Net lending (+)/ net borrowing (-) of other local government bodies </t>
  </si>
  <si>
    <t>Table 2D: Provision of the data which explain the transition between the working balance and the social security surplus/ deficit</t>
  </si>
  <si>
    <t>Net lending (+)/ net borrowing (-) of other social security bodies</t>
  </si>
  <si>
    <t>Table 3A: Provision of the data which explain the contributions of the surplus/ deficit and the other relevant factors to the variation in the debt level (general government)</t>
  </si>
  <si>
    <t xml:space="preserve">*Please note that the sign convention for net lending/ net borrowing is different from tables 1 and 2. 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</si>
  <si>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</si>
  <si>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</si>
  <si>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</si>
  <si>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</si>
  <si>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</si>
  <si>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</si>
  <si>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T3A</t>
  </si>
  <si>
    <t>T2A</t>
  </si>
  <si>
    <t>T3B</t>
  </si>
  <si>
    <t>T2B</t>
  </si>
  <si>
    <t>T3C</t>
  </si>
  <si>
    <t>T2C</t>
  </si>
  <si>
    <t>T3D</t>
  </si>
  <si>
    <t>T2D</t>
  </si>
  <si>
    <t>T3E</t>
  </si>
  <si>
    <t>T4</t>
  </si>
  <si>
    <t>XXXX</t>
  </si>
  <si>
    <t>AT</t>
  </si>
  <si>
    <t>Austria</t>
  </si>
  <si>
    <t>BE</t>
  </si>
  <si>
    <t>Belgium</t>
  </si>
  <si>
    <t>BG</t>
  </si>
  <si>
    <t>Bulgaria</t>
  </si>
  <si>
    <t>HR</t>
  </si>
  <si>
    <t>Croatia</t>
  </si>
  <si>
    <t>CY</t>
  </si>
  <si>
    <t>Cyprus</t>
  </si>
  <si>
    <t>CZ</t>
  </si>
  <si>
    <t>DK</t>
  </si>
  <si>
    <t>Denmark</t>
  </si>
  <si>
    <t>EE</t>
  </si>
  <si>
    <t>Estonia</t>
  </si>
  <si>
    <t>FI</t>
  </si>
  <si>
    <t>Finland</t>
  </si>
  <si>
    <t>FR</t>
  </si>
  <si>
    <t>France</t>
  </si>
  <si>
    <t>DE</t>
  </si>
  <si>
    <t>Germany</t>
  </si>
  <si>
    <t>EL</t>
  </si>
  <si>
    <t>Greece</t>
  </si>
  <si>
    <t>HU</t>
  </si>
  <si>
    <t>Hungary</t>
  </si>
  <si>
    <t>IE</t>
  </si>
  <si>
    <t>Ireland</t>
  </si>
  <si>
    <t>IT</t>
  </si>
  <si>
    <t>Italy</t>
  </si>
  <si>
    <t>LV</t>
  </si>
  <si>
    <t>Latvia</t>
  </si>
  <si>
    <t>LT</t>
  </si>
  <si>
    <t>Lithuania</t>
  </si>
  <si>
    <t>LU</t>
  </si>
  <si>
    <t>Luxembourg</t>
  </si>
  <si>
    <t>MT</t>
  </si>
  <si>
    <t>Malta</t>
  </si>
  <si>
    <t>NL</t>
  </si>
  <si>
    <t>PL</t>
  </si>
  <si>
    <t>Poland</t>
  </si>
  <si>
    <t>PT</t>
  </si>
  <si>
    <t>Portugal</t>
  </si>
  <si>
    <t>RO</t>
  </si>
  <si>
    <t>Romania</t>
  </si>
  <si>
    <t>SK</t>
  </si>
  <si>
    <t>SI</t>
  </si>
  <si>
    <t>Slovenia</t>
  </si>
  <si>
    <t>ES</t>
  </si>
  <si>
    <t>Spain</t>
  </si>
  <si>
    <t>SE</t>
  </si>
  <si>
    <t>Sweden</t>
  </si>
  <si>
    <t>UK</t>
  </si>
  <si>
    <t>United Kingdom</t>
  </si>
  <si>
    <t>AL</t>
  </si>
  <si>
    <t>Albania</t>
  </si>
  <si>
    <t>IS</t>
  </si>
  <si>
    <t>Iceland</t>
  </si>
  <si>
    <t>MK</t>
  </si>
  <si>
    <t>ME</t>
  </si>
  <si>
    <t>Montenegro</t>
  </si>
  <si>
    <t>NO</t>
  </si>
  <si>
    <t>Norway</t>
  </si>
  <si>
    <t>RS</t>
  </si>
  <si>
    <t>Serbia</t>
  </si>
  <si>
    <t>CH</t>
  </si>
  <si>
    <t>Switzerland</t>
  </si>
  <si>
    <t>TR</t>
  </si>
  <si>
    <t>Turkey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</si>
  <si>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</si>
  <si>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</si>
  <si>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</si>
  <si>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</si>
  <si>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</si>
  <si>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</si>
  <si>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</si>
  <si>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</si>
  <si>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</si>
  <si>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</si>
  <si>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</si>
  <si>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</si>
  <si>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</si>
  <si>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</si>
  <si>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</si>
  <si>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</si>
  <si>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</si>
  <si>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</si>
  <si>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</si>
  <si>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</si>
  <si>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</si>
  <si>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</si>
  <si>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</si>
  <si>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</si>
  <si>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</si>
  <si>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</si>
  <si>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</si>
  <si>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</si>
  <si>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</si>
  <si>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</si>
  <si>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</si>
  <si>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</si>
  <si>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</si>
  <si>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</si>
  <si>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</si>
  <si>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</si>
  <si>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</si>
  <si>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</si>
  <si>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</si>
  <si>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</si>
  <si>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</si>
  <si>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</si>
  <si>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</si>
  <si>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</si>
  <si>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</si>
  <si>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</si>
  <si>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</si>
  <si>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</si>
  <si>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</si>
  <si>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</si>
  <si>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</si>
  <si>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</si>
  <si>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</si>
  <si>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</si>
  <si>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</si>
  <si>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</si>
  <si>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</si>
  <si>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</si>
  <si>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</si>
  <si>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</si>
  <si>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</si>
  <si>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</si>
  <si>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</si>
  <si>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</si>
  <si>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</si>
  <si>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</si>
  <si>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</si>
  <si>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</si>
  <si>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</si>
  <si>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</si>
  <si>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</si>
  <si>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</si>
  <si>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</si>
  <si>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</si>
  <si>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</si>
  <si>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</si>
  <si>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</si>
  <si>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</si>
  <si>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</si>
  <si>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</si>
  <si>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</si>
  <si>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</si>
  <si>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</si>
  <si>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</si>
  <si>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</si>
  <si>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</si>
  <si>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</si>
  <si>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</si>
  <si>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</si>
  <si>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</si>
  <si>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</si>
  <si>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</si>
  <si>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</si>
  <si>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</si>
  <si>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</si>
  <si>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</si>
  <si>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</si>
  <si>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</si>
  <si>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</si>
  <si>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</si>
  <si>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</si>
  <si>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</si>
  <si>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</si>
  <si>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</si>
  <si>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</si>
  <si>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</si>
  <si>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</si>
  <si>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</si>
  <si>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</si>
  <si>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</si>
  <si>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</si>
  <si>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</si>
  <si>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</si>
  <si>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</si>
  <si>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</si>
  <si>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</si>
  <si>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</si>
  <si>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</si>
  <si>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</si>
  <si>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</si>
  <si>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</si>
  <si>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</si>
  <si>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</si>
  <si>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</si>
  <si>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</si>
  <si>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</si>
  <si>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</si>
  <si>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</si>
  <si>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</si>
  <si>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</si>
  <si>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</si>
  <si>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</si>
  <si>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</si>
  <si>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</si>
  <si>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</si>
  <si>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</si>
  <si>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</si>
  <si>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</si>
  <si>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</si>
  <si>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</si>
  <si>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</si>
  <si>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</si>
  <si>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</si>
  <si>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</si>
  <si>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</si>
  <si>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</si>
  <si>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</si>
  <si>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</si>
  <si>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</si>
  <si>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</si>
  <si>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</si>
  <si>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</si>
  <si>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</si>
  <si>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</si>
  <si>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</si>
  <si>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</si>
  <si>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</si>
  <si>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</si>
  <si>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</si>
  <si>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</si>
  <si>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</si>
  <si>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</si>
  <si>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</si>
  <si>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</si>
  <si>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</si>
  <si>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</si>
  <si>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</si>
  <si>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</si>
  <si>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</si>
  <si>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</si>
  <si>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</si>
  <si>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</si>
  <si>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</si>
  <si>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</si>
  <si>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</si>
  <si>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</si>
  <si>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</si>
  <si>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</si>
  <si>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</si>
  <si>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</si>
  <si>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</si>
  <si>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</si>
  <si>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</si>
  <si>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</si>
  <si>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</si>
  <si>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</si>
  <si>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</si>
  <si>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</si>
  <si>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</si>
  <si>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</si>
  <si>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</si>
  <si>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</si>
  <si>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</si>
  <si>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</si>
  <si>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</si>
  <si>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</si>
  <si>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</si>
  <si>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</si>
  <si>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</si>
  <si>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</si>
  <si>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</si>
  <si>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</si>
  <si>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</si>
  <si>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</si>
  <si>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</si>
  <si>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</si>
  <si>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</si>
  <si>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</si>
  <si>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</si>
  <si>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</si>
  <si>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</si>
  <si>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</si>
  <si>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</si>
  <si>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</si>
  <si>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</si>
  <si>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</si>
  <si>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</si>
  <si>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</si>
  <si>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</si>
  <si>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</si>
  <si>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</si>
  <si>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</si>
  <si>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</si>
  <si>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</si>
  <si>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</si>
  <si>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</si>
  <si>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</si>
  <si>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</si>
  <si>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</si>
  <si>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</si>
  <si>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</si>
  <si>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</si>
  <si>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</si>
  <si>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</si>
  <si>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</si>
  <si>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</si>
  <si>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</si>
  <si>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</si>
  <si>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</si>
  <si>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</si>
  <si>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</si>
  <si>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</si>
  <si>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</si>
  <si>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</si>
  <si>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</si>
  <si>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</si>
  <si>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</si>
  <si>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</si>
  <si>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</si>
  <si>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</si>
  <si>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</si>
  <si>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</si>
  <si>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</si>
  <si>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</si>
  <si>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</si>
  <si>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</si>
  <si>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</si>
  <si>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</si>
  <si>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</si>
  <si>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</si>
  <si>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</si>
  <si>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</si>
  <si>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</si>
  <si>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</si>
  <si>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</si>
  <si>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</si>
  <si>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</si>
  <si>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</si>
  <si>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</si>
  <si>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</si>
  <si>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</si>
  <si>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</si>
  <si>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</si>
  <si>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</si>
  <si>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</si>
  <si>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</si>
  <si>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</si>
  <si>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</si>
  <si>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</si>
  <si>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</si>
  <si>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</si>
  <si>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</si>
  <si>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</si>
  <si>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</si>
  <si>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</si>
  <si>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</si>
  <si>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</si>
  <si>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</si>
  <si>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</si>
  <si>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</si>
  <si>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</si>
  <si>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</si>
  <si>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</si>
  <si>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</si>
  <si>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</si>
  <si>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</si>
  <si>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</si>
  <si>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</si>
  <si>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</si>
  <si>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</si>
  <si>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</si>
  <si>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</si>
  <si>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</si>
  <si>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</si>
  <si>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</si>
  <si>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</si>
  <si>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</si>
  <si>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</si>
  <si>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</si>
  <si>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</si>
  <si>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</si>
  <si>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A.N.@@._Z.S1311._Z._Z.B.B9._Z._Z._Z.XDC._T.S.V.N._T.EDP2</t>
  </si>
  <si>
    <t>Type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</si>
  <si>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</si>
  <si>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</si>
  <si>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</si>
  <si>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</si>
  <si>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</si>
  <si>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</si>
  <si>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</si>
  <si>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</si>
  <si>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</si>
  <si>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</si>
  <si>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</si>
  <si>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</si>
  <si>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This is used for qualitative information regarding availability / status of the data (if error, use -1):</t>
  </si>
  <si>
    <t>planned</t>
  </si>
  <si>
    <t>forecast</t>
  </si>
  <si>
    <t>histo</t>
  </si>
  <si>
    <t>ZZ</t>
  </si>
  <si>
    <t>(T3.FA.S13- (T3.FA.S1311+ T3.FA.S1312+ T3.FA.S1313+ T3.FA.S1314))+ (T3.ADJ.S13- (T3.ADJ.S1311+ T3.ADJ.S1312+ T3.ADJ.S1313+ T3.ADJ.S1314))= (T3.CHDEBT.S13- (T3.CHDEBT.S1311+ T3.CHDEBT.S1312+ T3.CHDEBT.S1313+ T3.CHDEBT.S1314))</t>
  </si>
  <si>
    <t>Oct.2018</t>
  </si>
  <si>
    <t>Czechia</t>
  </si>
  <si>
    <t>Netherlands</t>
  </si>
  <si>
    <t>Slovakia</t>
  </si>
  <si>
    <t>LI</t>
  </si>
  <si>
    <t>Liechtenstein</t>
  </si>
  <si>
    <t>BA</t>
  </si>
  <si>
    <t>Bosnia and Herzegovina</t>
  </si>
  <si>
    <t>XK</t>
  </si>
  <si>
    <t>Kosovo*</t>
  </si>
  <si>
    <t>Tables 2A to 2D: Provision of the data which explain the transition between the national definitions of government balance and the surplus/ deficit (B.9) of each government subsector.</t>
  </si>
  <si>
    <t>Republic of North Macedonia</t>
  </si>
  <si>
    <t>Apr.2020</t>
  </si>
  <si>
    <t>W.2020</t>
  </si>
  <si>
    <t>Member State: Hungary</t>
  </si>
  <si>
    <t>Date: 09/04/2020</t>
  </si>
  <si>
    <t>Data are in HUF (millions of units of national currency)</t>
  </si>
  <si>
    <t>M</t>
  </si>
  <si>
    <t>Memorandum item: advance payment by CG to financial institutions (relates to dwelling subsidies)</t>
  </si>
  <si>
    <t>Memorandum item: holding gains on EU transfers and other items related to change in exchange rate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</si>
  <si>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</si>
  <si>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</si>
  <si>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</si>
  <si>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</si>
  <si>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</si>
  <si>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>A.N.@@._Z.S1311._Z._Z.A.F.F8.T._Z.XDC._T.S.V.N.C08.EDP2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</si>
  <si>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</si>
  <si>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</si>
  <si>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</si>
  <si>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</si>
  <si>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</si>
  <si>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</si>
  <si>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</si>
  <si>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Relates to P11 and P.131</t>
  </si>
  <si>
    <t>Relates to D.2</t>
  </si>
  <si>
    <t>Relates to D.42</t>
  </si>
  <si>
    <t>Relates to D.45 and K.2</t>
  </si>
  <si>
    <t>Relates to D.5 and D.91</t>
  </si>
  <si>
    <t>Relates to D.61</t>
  </si>
  <si>
    <t>Relates to: Eu transfers</t>
  </si>
  <si>
    <t>Relates to consolidation</t>
  </si>
  <si>
    <t>Relates to P.2</t>
  </si>
  <si>
    <t>Relates to D.1</t>
  </si>
  <si>
    <t>Relates to D.211</t>
  </si>
  <si>
    <t>Relates to D.3</t>
  </si>
  <si>
    <t>Relates to P.51</t>
  </si>
  <si>
    <t>Relates to other items (D.62, D.63, D.73, D.75, D.76, D.92)</t>
  </si>
  <si>
    <t>Relates to D.99</t>
  </si>
  <si>
    <t>Relates to NP</t>
  </si>
  <si>
    <t>Relates to standardised guarantees</t>
  </si>
  <si>
    <t>A.N.@@._Z.S13112._Z._Z.B.B9._Z._Z._Z.XDC._T.S.V.N.C03.EDP2</t>
  </si>
  <si>
    <t>A.N.@@._Z.S13112._Z._Z.B.B9._Z._Z._Z.XDC._T.S.V.N.C04.EDP2</t>
  </si>
  <si>
    <t>Component 1: Extrabudgetary funds</t>
  </si>
  <si>
    <t>Component 2: Pension Reform and Debt Reduction Fund</t>
  </si>
  <si>
    <t>Component 3: Corporations classified in Central Government</t>
  </si>
  <si>
    <t>Component 4: Nonprofit institutions classified in Central Government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</si>
  <si>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</si>
  <si>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</si>
  <si>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</si>
  <si>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</si>
  <si>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>A.N.@@._Z.S1311._Z._Z._X.OROA._Z.T._Z.XDC._T.S.V.N.C10.EDP2</t>
  </si>
  <si>
    <t>A.N.@@._Z.S1311._Z._Z._X.OROA._Z.T._Z.XDC._T.S.V.N.C11.EDP2</t>
  </si>
  <si>
    <t>A.N.@@._Z.S1311._Z._Z._X.OROA._Z.T._Z.XDC._T.S.V.N.C12.EDP2</t>
  </si>
  <si>
    <t>A.N.@@._Z.S1311._Z._Z._X.OROA._Z.T._Z.XDC._T.S.V.N.C13.EDP2</t>
  </si>
  <si>
    <t>A.N.@@._Z.S1311._Z._Z._X.OROA._Z.T._Z.XDC._T.S.V.N.C14.EDP2</t>
  </si>
  <si>
    <t>A.N.@@._Z.S1311._Z._Z._X.OROA._Z.T._Z.XDC._T.S.V.N.C15.EDP2</t>
  </si>
  <si>
    <t>A.N.@@._Z.S1311._Z._Z._X.OROA._Z.T._Z.XDC._T.S.V.N.C16.EDP2</t>
  </si>
  <si>
    <t>A.N.@@._Z.S1311._Z._Z._X.OROA._Z.T._Z.XDC._T.S.V.N.C17.EDP2</t>
  </si>
  <si>
    <t>A.N.@@._Z.S1311._Z._Z._X.OROA._Z.T._Z.XDC._T.S.V.N.C18.EDP2</t>
  </si>
  <si>
    <t>A.N.@@._Z.S1311._Z._Z._X.OROA._Z.T._Z.XDC._T.S.V.N.C19.EDP2</t>
  </si>
  <si>
    <t>A.N.@@._Z.S1311._Z._Z._X.OROA._Z.T._Z.XDC._T.S.V.N.C20.EDP2</t>
  </si>
  <si>
    <t>A.N.@@._Z.S1311._Z._Z._X.OROA._Z.T._Z.XDC._T.S.V.N.C21.EDP2</t>
  </si>
  <si>
    <t>A.N.@@._Z.S1311._Z._Z._X.OROA._Z.T._Z.XDC._T.S.V.N.C22.EDP2</t>
  </si>
  <si>
    <t>A.N.@@._Z.S1311._Z._Z._X.OROA._Z.T._Z.XDC._T.S.V.N.C23.EDP2</t>
  </si>
  <si>
    <t>A.N.@@._Z.S1311._Z._Z._X.OROA._Z.T._Z.XDC._T.S.V.N.C24.EDP2</t>
  </si>
  <si>
    <t>A.N.@@._Z.S1311._Z._Z._X.OROA._Z.T._Z.XDC._T.S.V.N.C25.EDP2</t>
  </si>
  <si>
    <t>A.N.@@._Z.S1311._Z._Z._X.OROA._Z.T._Z.XDC._T.S.V.N.C26.EDP2</t>
  </si>
  <si>
    <t>A.N.@@._Z.S1311._Z._Z._X.OROA._Z.T._Z.XDC._T.S.V.N.C27.EDP2</t>
  </si>
  <si>
    <t>A.N.@@._Z.S1311._Z._Z._X.OROA._Z.T._Z.XDC._T.S.V.N.C28.EDP2</t>
  </si>
  <si>
    <t>A.N.@@._Z.S1311._Z._Z._X.OROA._Z.T._Z.XDC._T.S.V.N.C29.EDP2</t>
  </si>
  <si>
    <t>A.N.@@._Z.S1311._Z._Z._X.OROA._Z.T._Z.XDC._T.S.V.N.C30.EDP2</t>
  </si>
  <si>
    <t>A.N.@@._Z.S1311._Z._Z._X.OROA._Z.T._Z.XDC._T.S.V.N.C31.EDP2</t>
  </si>
  <si>
    <t>A.N.@@._Z.S1311._Z._Z._X.OROA._Z.T._Z.XDC._T.S.V.N.C32.EDP2</t>
  </si>
  <si>
    <t>A.N.@@._Z.S1311._Z._Z._X.OROA._Z.T._Z.XDC._T.S.V.N.C33.EDP2</t>
  </si>
  <si>
    <t>A.N.@@._Z.S1311._Z._Z._X.OROA._Z.T._Z.XDC._T.S.V.N.C34.EDP2</t>
  </si>
  <si>
    <t>A.N.@@._Z.S1311._Z._Z._X.OROA._Z.T._Z.XDC._T.S.V.N.C35.EDP2</t>
  </si>
  <si>
    <t>A.N.@@._Z.S1311._Z._Z._X.OROA._Z.T._Z.XDC._T.S.V.N.C36.EDP2</t>
  </si>
  <si>
    <t>A.N.@@._Z.S1311._Z._Z._X.OROA._Z.T._Z.XDC._T.S.V.N.C37.EDP2</t>
  </si>
  <si>
    <t>A.N.@@._Z.S1311._Z._Z._X.OROA._Z.T._Z.XDC._T.S.V.N.C38.EDP2</t>
  </si>
  <si>
    <t>A.N.@@._Z.S1311._Z._Z._X.OROA._Z.T._Z.XDC._T.S.V.N.C39.EDP2</t>
  </si>
  <si>
    <t>A.N.@@._Z.S1311._Z._Z._X.OROA._Z.T._Z.XDC._T.S.V.N.C40.EDP2</t>
  </si>
  <si>
    <t>A.N.@@._Z.S1311._Z._Z._X.OROA._Z.T._Z.XDC._T.S.V.N.C41.EDP2</t>
  </si>
  <si>
    <t>A.N.@@._Z.S1311._Z._Z._X.OROA._Z.T._Z.XDC._T.S.V.N.C42.EDP2</t>
  </si>
  <si>
    <t>A.N.@@._Z.S1311._Z._Z._X.OROA._Z.T._Z.XDC._T.S.V.N.C43.EDP2</t>
  </si>
  <si>
    <t>A.N.@@._Z.S1311._Z._Z._X.OROA._Z.T._Z.XDC._T.S.V.N.C44.EDP2</t>
  </si>
  <si>
    <t>A.N.@@._Z.S1311._Z._Z._X.OROA._Z.T._Z.XDC._T.S.V.N.C45.EDP2</t>
  </si>
  <si>
    <t>A.N.@@._Z.S1311._Z._Z._X.OROA._Z.T._Z.XDC._T.S.V.N.C46.EDP2</t>
  </si>
  <si>
    <t>A.N.@@._Z.S1311._Z._Z._X.OROA._Z.T._Z.XDC._T.S.V.N.C47.EDP2</t>
  </si>
  <si>
    <t>Claim cancellation against Social Security funds</t>
  </si>
  <si>
    <t>Capital transfer to insurance companies acting in field of agriculture</t>
  </si>
  <si>
    <t>Claim cancellation because of liquidations and damages caused by nature</t>
  </si>
  <si>
    <t>Capital transfers to Postabank Co.</t>
  </si>
  <si>
    <t>Capital transfer to MÁV Rt.</t>
  </si>
  <si>
    <t>Expenditure rerouted from Reorg Apport Rt.</t>
  </si>
  <si>
    <t>Expenditure rerouted from MFB Rt.</t>
  </si>
  <si>
    <t xml:space="preserve">Debt assumption from ÁAK Rt, treated as D.99 capital transfer in 1999, included in 2002 cash budget </t>
  </si>
  <si>
    <t>Imputed mobile phone concession fee</t>
  </si>
  <si>
    <t>Adjustment to revenues that relate to the restructuring of extrabudgetary funds</t>
  </si>
  <si>
    <t>Deposit account arrangements</t>
  </si>
  <si>
    <t>Capital transfer to NA Rt. temporarily financed by the MFB Rt. (Hungarian Development Bank)</t>
  </si>
  <si>
    <t>Claim cancellation against ÁPV Rt.</t>
  </si>
  <si>
    <t>Claim cancellation against OTIVA Co.</t>
  </si>
  <si>
    <t>Debt (Bős-Nagymaros) assumption in 1995 and then debt cancellation against the State in 2001</t>
  </si>
  <si>
    <t>The difference between Treasury and Budget data treated as Capital transfer to Sportfólió Kht (non-profit institution classified in CG)</t>
  </si>
  <si>
    <t>Transfers from privatisation receipts paid by State Privatisation Co. to the Treasury single account (off-budget transaction)</t>
  </si>
  <si>
    <t>Claim cancellation 2003: against Republic of Russia, 2004: "of old government claim", 2006: Iraq, 2009: Mozambique, Cambodia</t>
  </si>
  <si>
    <t>Debt assumption from Rendezvénycsarnok Rt (decision was made in 2002, actual assumption in 2004, included in public balance)</t>
  </si>
  <si>
    <t xml:space="preserve">Income tax paid by Postabank </t>
  </si>
  <si>
    <t>Capital transfer to MAHART</t>
  </si>
  <si>
    <t>Capital transfres in kind from nonprofit institutions classified in Central Government</t>
  </si>
  <si>
    <t>Financial claim of a commercial bank on the State (derived from Church compensation), capital transfer</t>
  </si>
  <si>
    <t>Gripen reclassification from operative lease to financial lease</t>
  </si>
  <si>
    <t>Acquisition of Gripen equipments (P.51)</t>
  </si>
  <si>
    <t>PPP assets reclassification</t>
  </si>
  <si>
    <t>Capital transfer to non-financial corporations</t>
  </si>
  <si>
    <t>Transfer of privatisation receipt from sale of MAV Cargo to MAV</t>
  </si>
  <si>
    <t>VAT reinbursement adjustment due to European Court decision</t>
  </si>
  <si>
    <t>Reduction of EU transfer revenue related to court decision of VAT</t>
  </si>
  <si>
    <t>Transactions related to a call on a government guarantee (BTA)</t>
  </si>
  <si>
    <t xml:space="preserve">Owners' loan provided to MALÉV Plc. and neutralization of expenditure of 2010 </t>
  </si>
  <si>
    <t xml:space="preserve">Subsidy to MÁV Zrt financed by issuance of guaranteed securities </t>
  </si>
  <si>
    <t>Imputed transfer to households related to early repayment of mortgage loans</t>
  </si>
  <si>
    <t>Imputed taxes connected with early repayments of mortgage loans</t>
  </si>
  <si>
    <t>Capital injection to public corporations</t>
  </si>
  <si>
    <t>Change from public cost (PC) method to total cost (TC) method related to EU transfers</t>
  </si>
  <si>
    <t>Financial corrections related to EU transfers (decision in 2013)</t>
  </si>
  <si>
    <t>Capital transfer in kind to public corporations</t>
  </si>
  <si>
    <t>Financial corrections (decision in 2014) and other adjustments related to EU transfers</t>
  </si>
  <si>
    <t>MAVIR transactions rerouting</t>
  </si>
  <si>
    <t>Imputed revenue from transfer of pension obligations</t>
  </si>
  <si>
    <t>Debt assumption from local governments</t>
  </si>
  <si>
    <t>Debt assumption from BKV Zrt.</t>
  </si>
  <si>
    <t>Debt assumption from MÁV Zrt.</t>
  </si>
  <si>
    <t>Debt assumption from MTVA</t>
  </si>
  <si>
    <t>Exchange rate compensation to MFB</t>
  </si>
  <si>
    <t>L</t>
  </si>
  <si>
    <t>2013: MVM Zrt.(71 HUF Bn), 2014: MVM Zrt (37,3 HUF Bn), Antenna Hungária (56 HUF Bn), MKB Bank (17,1 HUF Bn), AVE (14 HUF Bn)</t>
  </si>
  <si>
    <t>2013: Sale of equities in Magyar Posta 19 Bn HUF, 2015: Sale of equities in OTP bank 75 Bn HUF</t>
  </si>
  <si>
    <t xml:space="preserve">Timing issue of inter-government transactions </t>
  </si>
  <si>
    <t>ceased on january 31 2015</t>
  </si>
  <si>
    <t>A.N.@@._Z.S1313._Z._Z.L.F.F8.T._Z.XDC._T.S.V.N.C03.EDP2</t>
  </si>
  <si>
    <t>A.N.@@._Z.S1313._Z._Z.L.F.F8.T._Z.XDC._T.S.V.N.C04.EDP2</t>
  </si>
  <si>
    <t>Relates to P.11 and P. 131</t>
  </si>
  <si>
    <t>Relates to D.62, D.63</t>
  </si>
  <si>
    <t>Corporations classified into Local Government</t>
  </si>
  <si>
    <t>Non-profit institutions classified into Local Government</t>
  </si>
  <si>
    <t>A.N.@@._Z.S1313._Z._Z._X.OROA._Z.T._Z.XDC._T.S.V.N.C04.EDP2</t>
  </si>
  <si>
    <t>A.N.@@._Z.S1313._Z._Z._X.OROA._Z.T._Z.XDC._T.S.V.N.C05.EDP2</t>
  </si>
  <si>
    <t>Government bonds granted in kind, treated as D99 capital transfer, received</t>
  </si>
  <si>
    <t>Imputed dwelling privatisation financed by loan</t>
  </si>
  <si>
    <t>Free transfer of equities to State Privatization Co.</t>
  </si>
  <si>
    <t xml:space="preserve">Debt assumption by the State </t>
  </si>
  <si>
    <t>In 1996 and 1997 working balance contained sale and purchase of short term bonds</t>
  </si>
  <si>
    <t>A.N.@@._Z.S1314._Z._Z.A.F.F8.T._Z.XDC._T.S.V.N.C03.EDP2</t>
  </si>
  <si>
    <t>A.N.@@._Z.S1314._Z._Z.A.F.F8.T._Z.XDC._T.S.V.N.C04.EDP2</t>
  </si>
  <si>
    <t>Relates to P.11 and P.131</t>
  </si>
  <si>
    <t>Relates to taxes</t>
  </si>
  <si>
    <t>Relates to D.611 and D.613</t>
  </si>
  <si>
    <t>Relates to D.63</t>
  </si>
  <si>
    <t>Relates to other items (P.2, D.1, P.51)</t>
  </si>
  <si>
    <t>Debt cancellation by the Central Budget</t>
  </si>
  <si>
    <t>Elimination of technical revenue (residual of 2007)</t>
  </si>
  <si>
    <t xml:space="preserve">Social contribution for childcare leave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</si>
</sst>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88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b/>
      <sz val="24"/>
      <color indexed="10"/>
      <name val="Tahoma"/>
      <family val="2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rgb="FF00FF00"/>
      <name val="Arial"/>
      <family val="2"/>
    </font>
    <font>
      <sz val="12"/>
      <color theme="0"/>
      <name val="Arial"/>
      <family val="2"/>
    </font>
    <font>
      <sz val="18"/>
      <name val="Arial"/>
      <family val="2"/>
    </font>
    <font>
      <sz val="12"/>
      <color theme="0"/>
      <name val="Times New Roman"/>
      <family val="1"/>
    </font>
    <font>
      <sz val="10"/>
      <color theme="0"/>
      <name val="Arial"/>
      <family val="2"/>
    </font>
    <font>
      <sz val="12"/>
      <color theme="0" tint="-0.14999847407452621"/>
      <name val="Arial"/>
      <family val="2"/>
    </font>
    <font>
      <b/>
      <sz val="1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8"/>
      </bottom>
      <diagonal/>
    </border>
    <border>
      <left style="thin">
        <color indexed="8"/>
      </left>
      <right style="thin">
        <color indexed="23"/>
      </right>
      <top style="double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549">
    <xf numFmtId="0" fontId="0" fillId="0" borderId="0" xfId="0"/>
    <xf numFmtId="0" fontId="28" fillId="0" borderId="2" xfId="0" applyFont="1" applyFill="1" applyBorder="1" applyAlignment="1" applyProtection="1">
      <alignment horizontal="centerContinuous" vertical="center"/>
      <protection locked="0"/>
    </xf>
    <xf numFmtId="0" fontId="18" fillId="0" borderId="3" xfId="0" applyFont="1" applyFill="1" applyBorder="1" applyProtection="1">
      <protection locked="0"/>
    </xf>
    <xf numFmtId="0" fontId="18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26" fillId="0" borderId="2" xfId="0" applyFont="1" applyFill="1" applyBorder="1" applyProtection="1">
      <protection locked="0"/>
    </xf>
    <xf numFmtId="0" fontId="30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8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1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5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5" fillId="0" borderId="14" xfId="0" applyFont="1" applyFill="1" applyBorder="1" applyProtection="1">
      <protection locked="0"/>
    </xf>
    <xf numFmtId="0" fontId="15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5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6" fillId="0" borderId="9" xfId="0" applyFont="1" applyFill="1" applyBorder="1" applyProtection="1">
      <protection locked="0"/>
    </xf>
    <xf numFmtId="0" fontId="15" fillId="0" borderId="9" xfId="0" applyFont="1" applyFill="1" applyBorder="1" applyProtection="1">
      <protection locked="0"/>
    </xf>
    <xf numFmtId="0" fontId="15" fillId="0" borderId="17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8" fillId="0" borderId="0" xfId="0" applyFont="1" applyProtection="1"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5" fillId="0" borderId="24" xfId="0" applyFont="1" applyFill="1" applyBorder="1" applyProtection="1">
      <protection locked="0"/>
    </xf>
    <xf numFmtId="0" fontId="15" fillId="0" borderId="9" xfId="0" applyFont="1" applyFill="1" applyBorder="1" applyAlignment="1" applyProtection="1">
      <alignment horizontal="center"/>
      <protection locked="0"/>
    </xf>
    <xf numFmtId="0" fontId="1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0" fillId="0" borderId="9" xfId="0" applyFont="1" applyFill="1" applyBorder="1" applyProtection="1">
      <protection locked="0"/>
    </xf>
    <xf numFmtId="0" fontId="26" fillId="0" borderId="6" xfId="0" applyFont="1" applyFill="1" applyBorder="1" applyProtection="1">
      <protection locked="0"/>
    </xf>
    <xf numFmtId="0" fontId="19" fillId="0" borderId="26" xfId="0" applyFont="1" applyFill="1" applyBorder="1" applyAlignment="1" applyProtection="1">
      <alignment horizontal="centerContinuous" vertical="center"/>
      <protection locked="0"/>
    </xf>
    <xf numFmtId="0" fontId="19" fillId="0" borderId="27" xfId="0" applyFont="1" applyFill="1" applyBorder="1" applyAlignment="1" applyProtection="1">
      <alignment horizontal="centerContinuous" vertical="center"/>
      <protection locked="0"/>
    </xf>
    <xf numFmtId="0" fontId="24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18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5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0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5" fillId="0" borderId="0" xfId="0" applyFont="1" applyFill="1" applyAlignment="1" applyProtection="1">
      <alignment horizontal="left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29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alignment horizontal="right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2" xfId="1" quotePrefix="1" applyNumberFormat="1" applyFont="1" applyFill="1" applyBorder="1" applyAlignment="1" applyProtection="1">
      <alignment horizontal="right"/>
      <protection locked="0"/>
    </xf>
    <xf numFmtId="3" fontId="11" fillId="2" borderId="32" xfId="1" applyNumberFormat="1" applyFont="1" applyFill="1" applyBorder="1" applyAlignment="1" applyProtection="1">
      <alignment horizontal="right"/>
      <protection locked="0"/>
    </xf>
    <xf numFmtId="3" fontId="11" fillId="2" borderId="33" xfId="1" applyNumberFormat="1" applyFont="1" applyFill="1" applyBorder="1" applyAlignment="1" applyProtection="1">
      <alignment horizontal="right"/>
      <protection locked="0"/>
    </xf>
    <xf numFmtId="3" fontId="18" fillId="0" borderId="0" xfId="1" applyNumberFormat="1" applyFont="1" applyFill="1" applyBorder="1" applyAlignment="1" applyProtection="1">
      <alignment horizontal="right"/>
      <protection locked="0"/>
    </xf>
    <xf numFmtId="3" fontId="26" fillId="2" borderId="32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29" xfId="1" applyNumberFormat="1" applyFont="1" applyFill="1" applyBorder="1" applyAlignment="1" applyProtection="1">
      <protection locked="0"/>
    </xf>
    <xf numFmtId="3" fontId="6" fillId="0" borderId="34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0" borderId="35" xfId="0" applyNumberFormat="1" applyFont="1" applyFill="1" applyBorder="1" applyAlignment="1" applyProtection="1">
      <protection locked="0"/>
    </xf>
    <xf numFmtId="0" fontId="30" fillId="0" borderId="36" xfId="0" applyFont="1" applyFill="1" applyBorder="1" applyAlignment="1" applyProtection="1">
      <alignment horizontal="centerContinuous"/>
      <protection locked="0"/>
    </xf>
    <xf numFmtId="3" fontId="30" fillId="2" borderId="1" xfId="1" applyNumberFormat="1" applyFont="1" applyFill="1" applyBorder="1" applyAlignment="1" applyProtection="1">
      <alignment horizontal="right"/>
      <protection locked="0"/>
    </xf>
    <xf numFmtId="3" fontId="53" fillId="3" borderId="37" xfId="1" applyNumberFormat="1" applyFont="1" applyFill="1" applyBorder="1" applyAlignment="1" applyProtection="1">
      <alignment horizontal="right"/>
      <protection locked="0"/>
    </xf>
    <xf numFmtId="3" fontId="53" fillId="3" borderId="38" xfId="1" applyNumberFormat="1" applyFont="1" applyFill="1" applyBorder="1" applyAlignment="1" applyProtection="1">
      <alignment horizontal="right"/>
      <protection locked="0"/>
    </xf>
    <xf numFmtId="3" fontId="53" fillId="3" borderId="39" xfId="1" applyNumberFormat="1" applyFont="1" applyFill="1" applyBorder="1" applyAlignment="1" applyProtection="1">
      <alignment horizontal="right"/>
      <protection locked="0"/>
    </xf>
    <xf numFmtId="3" fontId="53" fillId="3" borderId="40" xfId="1" applyNumberFormat="1" applyFont="1" applyFill="1" applyBorder="1" applyAlignment="1" applyProtection="1">
      <alignment horizontal="right"/>
      <protection locked="0"/>
    </xf>
    <xf numFmtId="3" fontId="54" fillId="3" borderId="37" xfId="1" applyNumberFormat="1" applyFont="1" applyFill="1" applyBorder="1" applyAlignment="1" applyProtection="1">
      <alignment horizontal="right"/>
      <protection locked="0"/>
    </xf>
    <xf numFmtId="3" fontId="54" fillId="3" borderId="38" xfId="1" applyNumberFormat="1" applyFont="1" applyFill="1" applyBorder="1" applyAlignment="1" applyProtection="1">
      <alignment horizontal="right"/>
      <protection locked="0"/>
    </xf>
    <xf numFmtId="3" fontId="54" fillId="3" borderId="39" xfId="1" applyNumberFormat="1" applyFont="1" applyFill="1" applyBorder="1" applyAlignment="1" applyProtection="1">
      <alignment horizontal="right"/>
      <protection locked="0"/>
    </xf>
    <xf numFmtId="3" fontId="54" fillId="3" borderId="40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30" fillId="0" borderId="43" xfId="1" applyNumberFormat="1" applyFont="1" applyFill="1" applyBorder="1" applyAlignment="1" applyProtection="1">
      <alignment horizontal="right"/>
      <protection locked="0"/>
    </xf>
    <xf numFmtId="3" fontId="30" fillId="0" borderId="44" xfId="1" applyNumberFormat="1" applyFont="1" applyFill="1" applyBorder="1" applyAlignment="1" applyProtection="1">
      <alignment horizontal="right"/>
      <protection locked="0"/>
    </xf>
    <xf numFmtId="3" fontId="30" fillId="0" borderId="46" xfId="1" applyNumberFormat="1" applyFont="1" applyFill="1" applyBorder="1" applyAlignment="1" applyProtection="1">
      <alignment horizontal="right"/>
      <protection locked="0"/>
    </xf>
    <xf numFmtId="3" fontId="30" fillId="0" borderId="0" xfId="1" applyNumberFormat="1" applyFont="1" applyFill="1" applyBorder="1" applyAlignment="1" applyProtection="1">
      <alignment horizontal="right"/>
      <protection locked="0"/>
    </xf>
    <xf numFmtId="3" fontId="30" fillId="0" borderId="47" xfId="1" applyNumberFormat="1" applyFont="1" applyFill="1" applyBorder="1" applyAlignment="1" applyProtection="1">
      <alignment horizontal="right"/>
      <protection locked="0"/>
    </xf>
    <xf numFmtId="3" fontId="30" fillId="0" borderId="17" xfId="1" applyNumberFormat="1" applyFont="1" applyFill="1" applyBorder="1" applyAlignment="1" applyProtection="1">
      <alignment horizontal="right"/>
      <protection locked="0"/>
    </xf>
    <xf numFmtId="0" fontId="30" fillId="0" borderId="25" xfId="0" applyFont="1" applyFill="1" applyBorder="1" applyProtection="1">
      <protection locked="0"/>
    </xf>
    <xf numFmtId="0" fontId="18" fillId="0" borderId="5" xfId="0" applyFont="1" applyFill="1" applyBorder="1" applyAlignment="1" applyProtection="1">
      <alignment horizontal="centerContinuous"/>
      <protection locked="0"/>
    </xf>
    <xf numFmtId="3" fontId="18" fillId="2" borderId="1" xfId="1" applyNumberFormat="1" applyFont="1" applyFill="1" applyBorder="1" applyAlignment="1" applyProtection="1">
      <alignment horizontal="right"/>
      <protection locked="0"/>
    </xf>
    <xf numFmtId="0" fontId="18" fillId="0" borderId="36" xfId="0" applyFont="1" applyFill="1" applyBorder="1" applyAlignment="1" applyProtection="1">
      <alignment horizontal="centerContinuous"/>
      <protection locked="0"/>
    </xf>
    <xf numFmtId="3" fontId="54" fillId="4" borderId="1" xfId="1" applyNumberFormat="1" applyFont="1" applyFill="1" applyBorder="1" applyAlignment="1" applyProtection="1">
      <alignment horizontal="right"/>
      <protection locked="0"/>
    </xf>
    <xf numFmtId="0" fontId="18" fillId="4" borderId="36" xfId="0" applyFont="1" applyFill="1" applyBorder="1" applyAlignment="1" applyProtection="1">
      <alignment horizontal="centerContinuous"/>
      <protection locked="0"/>
    </xf>
    <xf numFmtId="3" fontId="18" fillId="0" borderId="46" xfId="1" applyNumberFormat="1" applyFont="1" applyFill="1" applyBorder="1" applyAlignment="1" applyProtection="1">
      <alignment horizontal="right"/>
      <protection locked="0"/>
    </xf>
    <xf numFmtId="0" fontId="18" fillId="0" borderId="48" xfId="0" applyFont="1" applyFill="1" applyBorder="1" applyAlignment="1" applyProtection="1">
      <alignment horizontal="centerContinuous"/>
      <protection locked="0"/>
    </xf>
    <xf numFmtId="3" fontId="0" fillId="0" borderId="46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8" fillId="0" borderId="47" xfId="1" applyNumberFormat="1" applyFont="1" applyFill="1" applyBorder="1" applyAlignment="1" applyProtection="1">
      <alignment horizontal="right"/>
      <protection locked="0"/>
    </xf>
    <xf numFmtId="3" fontId="18" fillId="0" borderId="17" xfId="1" applyNumberFormat="1" applyFont="1" applyFill="1" applyBorder="1" applyAlignment="1" applyProtection="1">
      <alignment horizontal="right"/>
      <protection locked="0"/>
    </xf>
    <xf numFmtId="0" fontId="17" fillId="0" borderId="49" xfId="0" applyFont="1" applyFill="1" applyBorder="1" applyAlignment="1" applyProtection="1">
      <alignment horizontal="left"/>
      <protection locked="0"/>
    </xf>
    <xf numFmtId="0" fontId="17" fillId="0" borderId="50" xfId="0" applyFont="1" applyFill="1" applyBorder="1" applyAlignment="1" applyProtection="1">
      <alignment horizontal="left"/>
      <protection locked="0"/>
    </xf>
    <xf numFmtId="3" fontId="18" fillId="4" borderId="1" xfId="1" applyNumberFormat="1" applyFont="1" applyFill="1" applyBorder="1" applyAlignment="1" applyProtection="1">
      <alignment horizontal="right"/>
      <protection locked="0"/>
    </xf>
    <xf numFmtId="0" fontId="18" fillId="0" borderId="51" xfId="0" applyFont="1" applyFill="1" applyBorder="1" applyProtection="1">
      <protection locked="0"/>
    </xf>
    <xf numFmtId="3" fontId="18" fillId="2" borderId="52" xfId="1" applyNumberFormat="1" applyFont="1" applyFill="1" applyBorder="1" applyAlignment="1" applyProtection="1">
      <alignment horizontal="right"/>
      <protection locked="0"/>
    </xf>
    <xf numFmtId="3" fontId="18" fillId="0" borderId="43" xfId="1" applyNumberFormat="1" applyFont="1" applyFill="1" applyBorder="1" applyAlignment="1" applyProtection="1">
      <alignment horizontal="right"/>
      <protection locked="0"/>
    </xf>
    <xf numFmtId="3" fontId="18" fillId="0" borderId="44" xfId="1" applyNumberFormat="1" applyFont="1" applyFill="1" applyBorder="1" applyAlignment="1" applyProtection="1">
      <alignment horizontal="right"/>
      <protection locked="0"/>
    </xf>
    <xf numFmtId="3" fontId="30" fillId="2" borderId="53" xfId="1" applyNumberFormat="1" applyFont="1" applyFill="1" applyBorder="1" applyAlignment="1" applyProtection="1">
      <alignment horizontal="right"/>
      <protection locked="0"/>
    </xf>
    <xf numFmtId="0" fontId="30" fillId="0" borderId="54" xfId="0" applyFont="1" applyFill="1" applyBorder="1" applyAlignment="1" applyProtection="1">
      <alignment horizontal="centerContinuous"/>
      <protection locked="0"/>
    </xf>
    <xf numFmtId="0" fontId="30" fillId="0" borderId="55" xfId="0" applyFont="1" applyFill="1" applyBorder="1" applyAlignment="1" applyProtection="1">
      <alignment horizontal="centerContinuous"/>
      <protection locked="0"/>
    </xf>
    <xf numFmtId="3" fontId="18" fillId="0" borderId="14" xfId="1" applyNumberFormat="1" applyFont="1" applyFill="1" applyBorder="1" applyAlignment="1" applyProtection="1">
      <alignment horizontal="right"/>
      <protection locked="0"/>
    </xf>
    <xf numFmtId="49" fontId="9" fillId="2" borderId="57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3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5" fillId="0" borderId="60" xfId="0" applyFont="1" applyFill="1" applyBorder="1" applyAlignment="1" applyProtection="1">
      <alignment horizontal="center"/>
      <protection locked="0"/>
    </xf>
    <xf numFmtId="0" fontId="15" fillId="0" borderId="61" xfId="0" applyFont="1" applyFill="1" applyBorder="1" applyAlignment="1" applyProtection="1">
      <alignment horizontal="center"/>
      <protection locked="0"/>
    </xf>
    <xf numFmtId="0" fontId="15" fillId="0" borderId="61" xfId="0" applyFont="1" applyFill="1" applyBorder="1" applyProtection="1">
      <protection locked="0"/>
    </xf>
    <xf numFmtId="0" fontId="15" fillId="0" borderId="60" xfId="0" applyFont="1" applyFill="1" applyBorder="1" applyAlignment="1" applyProtection="1">
      <alignment horizontal="left"/>
      <protection locked="0"/>
    </xf>
    <xf numFmtId="0" fontId="56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5" fillId="0" borderId="68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5" fillId="0" borderId="61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6" fillId="0" borderId="70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5" fillId="0" borderId="71" xfId="0" applyFont="1" applyFill="1" applyBorder="1" applyProtection="1">
      <protection locked="0"/>
    </xf>
    <xf numFmtId="0" fontId="15" fillId="0" borderId="17" xfId="0" applyFont="1" applyFill="1" applyBorder="1" applyAlignment="1" applyProtection="1">
      <alignment horizontal="left"/>
      <protection locked="0"/>
    </xf>
    <xf numFmtId="0" fontId="15" fillId="0" borderId="59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5" fillId="0" borderId="65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0" fillId="0" borderId="0" xfId="0" applyFont="1" applyFill="1" applyBorder="1" applyAlignment="1" applyProtection="1">
      <alignment horizontal="left"/>
      <protection locked="0"/>
    </xf>
    <xf numFmtId="0" fontId="26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5" fillId="0" borderId="71" xfId="0" applyFont="1" applyFill="1" applyBorder="1" applyAlignment="1" applyProtection="1">
      <alignment horizontal="center"/>
      <protection locked="0"/>
    </xf>
    <xf numFmtId="0" fontId="15" fillId="0" borderId="65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2" fillId="0" borderId="60" xfId="0" applyFont="1" applyFill="1" applyBorder="1" applyAlignment="1" applyProtection="1">
      <alignment horizontal="center"/>
      <protection locked="0"/>
    </xf>
    <xf numFmtId="0" fontId="12" fillId="0" borderId="60" xfId="0" applyFont="1" applyFill="1" applyBorder="1" applyProtection="1">
      <protection locked="0"/>
    </xf>
    <xf numFmtId="0" fontId="12" fillId="0" borderId="65" xfId="0" applyFont="1" applyFill="1" applyBorder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58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1" fillId="0" borderId="0" xfId="0" applyFont="1" applyAlignment="1" applyProtection="1">
      <alignment horizontal="center"/>
    </xf>
    <xf numFmtId="0" fontId="65" fillId="0" borderId="0" xfId="0" applyFont="1" applyFill="1" applyAlignment="1" applyProtection="1">
      <alignment horizontal="left"/>
    </xf>
    <xf numFmtId="0" fontId="65" fillId="0" borderId="0" xfId="0" quotePrefix="1" applyFont="1" applyFill="1" applyAlignment="1" applyProtection="1">
      <alignment horizontal="left"/>
    </xf>
    <xf numFmtId="0" fontId="30" fillId="0" borderId="0" xfId="0" applyFont="1" applyFill="1" applyProtection="1">
      <protection locked="0"/>
    </xf>
    <xf numFmtId="0" fontId="64" fillId="0" borderId="0" xfId="0" applyFont="1" applyFill="1" applyAlignment="1" applyProtection="1">
      <alignment horizontal="left"/>
    </xf>
    <xf numFmtId="0" fontId="48" fillId="0" borderId="66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67" xfId="0" applyFont="1" applyBorder="1" applyAlignment="1" applyProtection="1">
      <alignment wrapText="1"/>
    </xf>
    <xf numFmtId="0" fontId="15" fillId="0" borderId="0" xfId="0" applyFont="1" applyProtection="1">
      <protection locked="0"/>
    </xf>
    <xf numFmtId="0" fontId="15" fillId="0" borderId="65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3" fillId="0" borderId="76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0" fillId="5" borderId="45" xfId="1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49" xfId="0" applyFont="1" applyFill="1" applyBorder="1" applyAlignment="1" applyProtection="1">
      <alignment horizontal="left"/>
    </xf>
    <xf numFmtId="0" fontId="6" fillId="0" borderId="69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5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5" fillId="0" borderId="59" xfId="0" applyFont="1" applyFill="1" applyBorder="1" applyProtection="1"/>
    <xf numFmtId="0" fontId="9" fillId="0" borderId="59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5" fillId="0" borderId="60" xfId="0" applyFont="1" applyFill="1" applyBorder="1" applyAlignment="1" applyProtection="1">
      <alignment horizontal="center"/>
    </xf>
    <xf numFmtId="0" fontId="9" fillId="0" borderId="60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5" fillId="0" borderId="61" xfId="0" applyFont="1" applyFill="1" applyBorder="1" applyAlignment="1" applyProtection="1">
      <alignment horizontal="center"/>
    </xf>
    <xf numFmtId="0" fontId="15" fillId="0" borderId="60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5" fillId="0" borderId="60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82" xfId="0" applyFont="1" applyFill="1" applyBorder="1" applyAlignment="1" applyProtection="1">
      <alignment horizontal="left"/>
    </xf>
    <xf numFmtId="0" fontId="9" fillId="0" borderId="62" xfId="0" applyFont="1" applyFill="1" applyBorder="1" applyAlignment="1" applyProtection="1"/>
    <xf numFmtId="0" fontId="9" fillId="0" borderId="62" xfId="0" applyFont="1" applyFill="1" applyBorder="1" applyProtection="1"/>
    <xf numFmtId="0" fontId="15" fillId="0" borderId="61" xfId="0" applyFont="1" applyFill="1" applyBorder="1" applyProtection="1"/>
    <xf numFmtId="0" fontId="50" fillId="0" borderId="60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5" fillId="0" borderId="60" xfId="0" applyFont="1" applyFill="1" applyBorder="1" applyAlignment="1" applyProtection="1">
      <alignment horizontal="left"/>
    </xf>
    <xf numFmtId="0" fontId="9" fillId="0" borderId="95" xfId="0" applyFont="1" applyFill="1" applyBorder="1" applyAlignment="1" applyProtection="1"/>
    <xf numFmtId="0" fontId="9" fillId="0" borderId="94" xfId="0" applyFont="1" applyFill="1" applyBorder="1" applyAlignment="1" applyProtection="1"/>
    <xf numFmtId="0" fontId="9" fillId="0" borderId="30" xfId="0" applyFont="1" applyFill="1" applyBorder="1" applyAlignment="1" applyProtection="1">
      <alignment horizontal="center"/>
    </xf>
    <xf numFmtId="0" fontId="9" fillId="0" borderId="93" xfId="0" applyFont="1" applyFill="1" applyBorder="1" applyAlignment="1" applyProtection="1"/>
    <xf numFmtId="0" fontId="9" fillId="0" borderId="31" xfId="0" applyFont="1" applyFill="1" applyBorder="1" applyAlignment="1" applyProtection="1">
      <alignment horizontal="center"/>
    </xf>
    <xf numFmtId="0" fontId="9" fillId="0" borderId="63" xfId="0" applyFont="1" applyFill="1" applyBorder="1" applyAlignment="1" applyProtection="1"/>
    <xf numFmtId="0" fontId="9" fillId="0" borderId="63" xfId="0" applyFont="1" applyFill="1" applyBorder="1" applyProtection="1"/>
    <xf numFmtId="0" fontId="0" fillId="0" borderId="62" xfId="0" applyFill="1" applyBorder="1" applyAlignment="1" applyProtection="1"/>
    <xf numFmtId="0" fontId="0" fillId="0" borderId="62" xfId="0" applyFill="1" applyBorder="1" applyProtection="1"/>
    <xf numFmtId="0" fontId="13" fillId="0" borderId="5" xfId="0" applyFont="1" applyFill="1" applyBorder="1" applyProtection="1"/>
    <xf numFmtId="0" fontId="13" fillId="0" borderId="28" xfId="0" applyFont="1" applyFill="1" applyBorder="1" applyAlignment="1" applyProtection="1"/>
    <xf numFmtId="0" fontId="14" fillId="0" borderId="5" xfId="0" applyFont="1" applyFill="1" applyBorder="1" applyAlignment="1" applyProtection="1"/>
    <xf numFmtId="0" fontId="14" fillId="0" borderId="5" xfId="0" applyFont="1" applyFill="1" applyBorder="1" applyProtection="1"/>
    <xf numFmtId="0" fontId="9" fillId="0" borderId="31" xfId="0" applyFont="1" applyFill="1" applyBorder="1" applyAlignment="1" applyProtection="1"/>
    <xf numFmtId="0" fontId="16" fillId="6" borderId="60" xfId="0" applyFont="1" applyFill="1" applyBorder="1" applyAlignment="1" applyProtection="1">
      <alignment horizontal="left"/>
    </xf>
    <xf numFmtId="0" fontId="14" fillId="0" borderId="90" xfId="0" applyFont="1" applyFill="1" applyBorder="1" applyAlignment="1" applyProtection="1"/>
    <xf numFmtId="0" fontId="14" fillId="0" borderId="91" xfId="0" applyFont="1" applyFill="1" applyBorder="1" applyAlignment="1" applyProtection="1"/>
    <xf numFmtId="0" fontId="14" fillId="0" borderId="92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58" xfId="0" applyFill="1" applyBorder="1" applyAlignment="1" applyProtection="1"/>
    <xf numFmtId="0" fontId="0" fillId="0" borderId="64" xfId="0" applyFill="1" applyBorder="1" applyProtection="1"/>
    <xf numFmtId="0" fontId="13" fillId="0" borderId="31" xfId="0" applyFont="1" applyFill="1" applyBorder="1" applyAlignment="1" applyProtection="1"/>
    <xf numFmtId="0" fontId="16" fillId="6" borderId="86" xfId="0" applyFont="1" applyFill="1" applyBorder="1" applyAlignment="1" applyProtection="1">
      <alignment horizontal="left"/>
    </xf>
    <xf numFmtId="0" fontId="0" fillId="0" borderId="63" xfId="0" applyFill="1" applyBorder="1" applyAlignment="1" applyProtection="1"/>
    <xf numFmtId="0" fontId="0" fillId="0" borderId="63" xfId="0" applyFill="1" applyBorder="1" applyAlignment="1" applyProtection="1">
      <alignment horizontal="center"/>
    </xf>
    <xf numFmtId="0" fontId="9" fillId="0" borderId="62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2" fillId="0" borderId="0" xfId="0" applyFont="1" applyFill="1" applyAlignment="1" applyProtection="1"/>
    <xf numFmtId="49" fontId="66" fillId="0" borderId="0" xfId="0" applyNumberFormat="1" applyFont="1" applyFill="1" applyAlignment="1" applyProtection="1"/>
    <xf numFmtId="0" fontId="15" fillId="0" borderId="65" xfId="0" applyFont="1" applyFill="1" applyBorder="1" applyProtection="1"/>
    <xf numFmtId="0" fontId="9" fillId="0" borderId="65" xfId="0" applyFont="1" applyFill="1" applyBorder="1" applyAlignment="1" applyProtection="1">
      <alignment horizontal="left"/>
    </xf>
    <xf numFmtId="0" fontId="12" fillId="0" borderId="85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5" fillId="0" borderId="0" xfId="0" applyFont="1" applyFill="1" applyAlignment="1" applyProtection="1">
      <alignment horizontal="center"/>
    </xf>
    <xf numFmtId="0" fontId="15" fillId="0" borderId="0" xfId="0" applyFont="1" applyProtection="1"/>
    <xf numFmtId="0" fontId="15" fillId="0" borderId="68" xfId="0" applyFont="1" applyFill="1" applyBorder="1" applyAlignment="1" applyProtection="1">
      <alignment horizontal="center"/>
    </xf>
    <xf numFmtId="0" fontId="15" fillId="0" borderId="59" xfId="0" applyFont="1" applyBorder="1" applyProtection="1"/>
    <xf numFmtId="0" fontId="15" fillId="0" borderId="60" xfId="0" applyFont="1" applyBorder="1" applyProtection="1"/>
    <xf numFmtId="0" fontId="15" fillId="0" borderId="89" xfId="0" applyFont="1" applyFill="1" applyBorder="1" applyAlignment="1" applyProtection="1">
      <alignment horizontal="left"/>
    </xf>
    <xf numFmtId="0" fontId="15" fillId="0" borderId="61" xfId="0" applyFont="1" applyFill="1" applyBorder="1" applyAlignment="1" applyProtection="1">
      <alignment horizontal="left"/>
    </xf>
    <xf numFmtId="0" fontId="16" fillId="6" borderId="86" xfId="0" applyFont="1" applyFill="1" applyBorder="1" applyProtection="1"/>
    <xf numFmtId="0" fontId="15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5" fillId="0" borderId="14" xfId="0" applyFont="1" applyFill="1" applyBorder="1" applyProtection="1"/>
    <xf numFmtId="0" fontId="9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42" fillId="0" borderId="16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40" fillId="0" borderId="16" xfId="0" applyFont="1" applyFill="1" applyBorder="1" applyAlignment="1" applyProtection="1">
      <alignment horizontal="center"/>
    </xf>
    <xf numFmtId="0" fontId="12" fillId="0" borderId="16" xfId="0" applyFont="1" applyFill="1" applyBorder="1" applyAlignment="1" applyProtection="1">
      <alignment horizontal="center"/>
    </xf>
    <xf numFmtId="0" fontId="5" fillId="0" borderId="7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6" fillId="0" borderId="43" xfId="0" applyFont="1" applyFill="1" applyBorder="1" applyAlignment="1" applyProtection="1">
      <alignment horizontal="left"/>
    </xf>
    <xf numFmtId="0" fontId="6" fillId="0" borderId="72" xfId="0" applyFont="1" applyFill="1" applyBorder="1" applyAlignment="1" applyProtection="1">
      <alignment horizontal="left"/>
    </xf>
    <xf numFmtId="0" fontId="6" fillId="0" borderId="73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26" fillId="0" borderId="70" xfId="0" applyFont="1" applyFill="1" applyBorder="1" applyAlignment="1" applyProtection="1">
      <alignment horizontal="left"/>
    </xf>
    <xf numFmtId="0" fontId="14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0" fontId="75" fillId="0" borderId="13" xfId="0" applyFont="1" applyBorder="1" applyProtection="1"/>
    <xf numFmtId="0" fontId="49" fillId="0" borderId="67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66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48" fillId="0" borderId="66" xfId="0" applyFont="1" applyFill="1" applyBorder="1" applyAlignment="1" applyProtection="1">
      <alignment vertical="center"/>
    </xf>
    <xf numFmtId="0" fontId="15" fillId="0" borderId="59" xfId="0" applyFont="1" applyFill="1" applyBorder="1" applyAlignment="1" applyProtection="1">
      <alignment horizontal="center"/>
    </xf>
    <xf numFmtId="0" fontId="50" fillId="0" borderId="60" xfId="0" applyFont="1" applyFill="1" applyBorder="1" applyAlignment="1" applyProtection="1">
      <alignment horizontal="center"/>
    </xf>
    <xf numFmtId="0" fontId="15" fillId="0" borderId="71" xfId="0" applyFont="1" applyFill="1" applyBorder="1" applyProtection="1"/>
    <xf numFmtId="0" fontId="15" fillId="0" borderId="65" xfId="0" applyFont="1" applyFill="1" applyBorder="1" applyAlignment="1" applyProtection="1">
      <alignment horizontal="center"/>
    </xf>
    <xf numFmtId="0" fontId="15" fillId="0" borderId="8" xfId="0" applyFont="1" applyFill="1" applyBorder="1" applyProtection="1"/>
    <xf numFmtId="0" fontId="15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5" fillId="0" borderId="17" xfId="0" applyFont="1" applyFill="1" applyBorder="1" applyAlignment="1" applyProtection="1">
      <alignment horizontal="left"/>
    </xf>
    <xf numFmtId="0" fontId="15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5" fillId="0" borderId="0" xfId="0" applyFont="1" applyFill="1" applyBorder="1" applyAlignment="1" applyProtection="1">
      <alignment horizontal="center"/>
    </xf>
    <xf numFmtId="0" fontId="15" fillId="0" borderId="59" xfId="0" applyFont="1" applyFill="1" applyBorder="1" applyAlignment="1" applyProtection="1">
      <alignment horizontal="left"/>
    </xf>
    <xf numFmtId="0" fontId="16" fillId="6" borderId="87" xfId="0" applyFont="1" applyFill="1" applyBorder="1" applyAlignment="1" applyProtection="1">
      <alignment horizontal="left"/>
    </xf>
    <xf numFmtId="0" fontId="16" fillId="6" borderId="88" xfId="0" applyFont="1" applyFill="1" applyBorder="1" applyAlignment="1" applyProtection="1">
      <alignment horizontal="left"/>
    </xf>
    <xf numFmtId="0" fontId="19" fillId="0" borderId="26" xfId="0" applyFont="1" applyFill="1" applyBorder="1" applyAlignment="1" applyProtection="1">
      <alignment horizontal="left" vertical="center"/>
    </xf>
    <xf numFmtId="0" fontId="19" fillId="0" borderId="26" xfId="0" applyFont="1" applyFill="1" applyBorder="1" applyAlignment="1" applyProtection="1">
      <alignment horizontal="centerContinuous" vertical="center"/>
    </xf>
    <xf numFmtId="0" fontId="19" fillId="0" borderId="27" xfId="0" applyFont="1" applyFill="1" applyBorder="1" applyAlignment="1" applyProtection="1">
      <alignment horizontal="centerContinuous" vertical="center"/>
    </xf>
    <xf numFmtId="0" fontId="17" fillId="0" borderId="56" xfId="0" applyFont="1" applyFill="1" applyBorder="1" applyAlignment="1" applyProtection="1">
      <alignment horizontal="left"/>
    </xf>
    <xf numFmtId="0" fontId="26" fillId="0" borderId="74" xfId="0" applyFont="1" applyFill="1" applyBorder="1" applyAlignment="1" applyProtection="1">
      <alignment horizontal="left"/>
    </xf>
    <xf numFmtId="0" fontId="30" fillId="0" borderId="43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0" fillId="0" borderId="69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>
      <alignment horizontal="left"/>
    </xf>
    <xf numFmtId="0" fontId="26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0" fontId="30" fillId="0" borderId="75" xfId="0" applyFont="1" applyFill="1" applyBorder="1" applyAlignment="1" applyProtection="1">
      <alignment horizontal="left"/>
    </xf>
    <xf numFmtId="3" fontId="30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5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19" fillId="0" borderId="78" xfId="0" applyFont="1" applyFill="1" applyBorder="1" applyAlignment="1" applyProtection="1">
      <alignment horizontal="left" vertical="center"/>
    </xf>
    <xf numFmtId="0" fontId="26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0" fillId="0" borderId="77" xfId="0" applyFont="1" applyFill="1" applyBorder="1" applyAlignment="1" applyProtection="1">
      <alignment horizontal="left"/>
    </xf>
    <xf numFmtId="0" fontId="41" fillId="0" borderId="17" xfId="0" applyFont="1" applyFill="1" applyBorder="1" applyAlignment="1" applyProtection="1">
      <alignment horizontal="left"/>
    </xf>
    <xf numFmtId="2" fontId="41" fillId="0" borderId="17" xfId="0" applyNumberFormat="1" applyFont="1" applyFill="1" applyBorder="1" applyProtection="1"/>
    <xf numFmtId="2" fontId="15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9" fillId="0" borderId="59" xfId="0" applyFont="1" applyFill="1" applyBorder="1" applyProtection="1"/>
    <xf numFmtId="0" fontId="9" fillId="0" borderId="60" xfId="0" applyFont="1" applyFill="1" applyBorder="1" applyAlignment="1" applyProtection="1">
      <alignment horizontal="center"/>
    </xf>
    <xf numFmtId="0" fontId="21" fillId="0" borderId="60" xfId="0" applyFont="1" applyFill="1" applyBorder="1" applyAlignment="1" applyProtection="1">
      <alignment horizontal="center"/>
    </xf>
    <xf numFmtId="0" fontId="12" fillId="0" borderId="60" xfId="0" applyFont="1" applyFill="1" applyBorder="1" applyAlignment="1" applyProtection="1">
      <alignment horizontal="center"/>
    </xf>
    <xf numFmtId="0" fontId="76" fillId="0" borderId="0" xfId="0" applyFont="1" applyFill="1" applyAlignment="1" applyProtection="1">
      <alignment horizontal="right"/>
    </xf>
    <xf numFmtId="0" fontId="62" fillId="0" borderId="0" xfId="0" applyFont="1" applyFill="1" applyProtection="1"/>
    <xf numFmtId="0" fontId="63" fillId="0" borderId="0" xfId="0" applyFont="1" applyFill="1" applyAlignment="1" applyProtection="1">
      <alignment horizontal="right" vertical="top"/>
    </xf>
    <xf numFmtId="0" fontId="27" fillId="0" borderId="0" xfId="0" applyFont="1" applyFill="1" applyAlignment="1" applyProtection="1">
      <alignment horizontal="right" vertical="top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58" fillId="0" borderId="0" xfId="0" applyFont="1" applyFill="1" applyProtection="1"/>
    <xf numFmtId="0" fontId="29" fillId="0" borderId="0" xfId="0" applyFont="1" applyFill="1" applyAlignment="1" applyProtection="1">
      <alignment horizontal="centerContinuous"/>
    </xf>
    <xf numFmtId="0" fontId="25" fillId="0" borderId="0" xfId="0" applyFont="1" applyFill="1" applyAlignment="1" applyProtection="1">
      <alignment horizontal="centerContinuous"/>
    </xf>
    <xf numFmtId="0" fontId="25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5" fillId="0" borderId="58" xfId="0" applyFont="1" applyFill="1" applyBorder="1" applyAlignment="1" applyProtection="1">
      <alignment horizontal="centerContinuous"/>
    </xf>
    <xf numFmtId="0" fontId="5" fillId="0" borderId="58" xfId="0" applyFont="1" applyFill="1" applyBorder="1" applyAlignment="1" applyProtection="1">
      <alignment horizontal="centerContinuous"/>
    </xf>
    <xf numFmtId="0" fontId="6" fillId="0" borderId="58" xfId="0" applyFont="1" applyFill="1" applyBorder="1" applyAlignment="1" applyProtection="1">
      <alignment horizontal="centerContinuous"/>
    </xf>
    <xf numFmtId="0" fontId="58" fillId="0" borderId="0" xfId="0" applyFont="1" applyFill="1" applyAlignment="1" applyProtection="1">
      <alignment horizontal="center"/>
    </xf>
    <xf numFmtId="0" fontId="70" fillId="0" borderId="0" xfId="0" applyFont="1" applyFill="1" applyAlignment="1" applyProtection="1">
      <alignment horizontal="centerContinuous"/>
    </xf>
    <xf numFmtId="0" fontId="60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59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7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60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3" fontId="6" fillId="2" borderId="33" xfId="1" quotePrefix="1" applyNumberFormat="1" applyFont="1" applyFill="1" applyBorder="1" applyAlignment="1" applyProtection="1">
      <alignment horizontal="right"/>
      <protection locked="0"/>
    </xf>
    <xf numFmtId="0" fontId="55" fillId="0" borderId="0" xfId="0" applyFont="1" applyFill="1" applyProtection="1">
      <protection locked="0"/>
    </xf>
    <xf numFmtId="0" fontId="50" fillId="0" borderId="19" xfId="0" applyFont="1" applyFill="1" applyBorder="1" applyAlignment="1" applyProtection="1">
      <alignment horizontal="center"/>
    </xf>
    <xf numFmtId="0" fontId="15" fillId="0" borderId="60" xfId="0" applyFont="1" applyBorder="1" applyAlignment="1" applyProtection="1">
      <alignment horizontal="left"/>
      <protection locked="0"/>
    </xf>
    <xf numFmtId="0" fontId="50" fillId="0" borderId="60" xfId="0" applyFont="1" applyFill="1" applyBorder="1" applyAlignment="1" applyProtection="1">
      <alignment horizontal="center"/>
      <protection locked="0"/>
    </xf>
    <xf numFmtId="0" fontId="71" fillId="0" borderId="60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61" xfId="0" applyFont="1" applyFill="1" applyBorder="1" applyAlignment="1" applyProtection="1">
      <alignment horizontal="left"/>
      <protection locked="0"/>
    </xf>
    <xf numFmtId="0" fontId="72" fillId="0" borderId="60" xfId="0" applyFont="1" applyFill="1" applyBorder="1" applyAlignment="1" applyProtection="1">
      <alignment horizontal="left"/>
      <protection locked="0"/>
    </xf>
    <xf numFmtId="3" fontId="6" fillId="2" borderId="80" xfId="1" applyNumberFormat="1" applyFont="1" applyFill="1" applyBorder="1" applyAlignment="1" applyProtection="1">
      <protection locked="0"/>
    </xf>
    <xf numFmtId="0" fontId="14" fillId="0" borderId="99" xfId="0" applyFont="1" applyFill="1" applyBorder="1" applyProtection="1"/>
    <xf numFmtId="0" fontId="9" fillId="0" borderId="100" xfId="0" applyFont="1" applyFill="1" applyBorder="1" applyAlignment="1" applyProtection="1">
      <alignment horizontal="center"/>
    </xf>
    <xf numFmtId="0" fontId="12" fillId="2" borderId="15" xfId="0" quotePrefix="1" applyFont="1" applyFill="1" applyBorder="1" applyAlignment="1" applyProtection="1">
      <alignment horizontal="center"/>
      <protection locked="0"/>
    </xf>
    <xf numFmtId="3" fontId="6" fillId="0" borderId="0" xfId="1" applyNumberFormat="1" applyFont="1" applyFill="1" applyAlignment="1" applyProtection="1">
      <alignment horizontal="right"/>
      <protection locked="0"/>
    </xf>
    <xf numFmtId="3" fontId="6" fillId="0" borderId="82" xfId="1" applyNumberFormat="1" applyFont="1" applyFill="1" applyBorder="1" applyAlignment="1" applyProtection="1">
      <alignment horizontal="right"/>
      <protection locked="0"/>
    </xf>
    <xf numFmtId="3" fontId="2" fillId="4" borderId="83" xfId="1" applyNumberFormat="1" applyFont="1" applyFill="1" applyBorder="1" applyAlignment="1" applyProtection="1">
      <alignment horizontal="right"/>
      <protection locked="0"/>
    </xf>
    <xf numFmtId="3" fontId="6" fillId="0" borderId="34" xfId="1" applyNumberFormat="1" applyFont="1" applyFill="1" applyBorder="1" applyAlignment="1" applyProtection="1">
      <alignment horizontal="right"/>
      <protection locked="0"/>
    </xf>
    <xf numFmtId="3" fontId="6" fillId="0" borderId="58" xfId="1" applyNumberFormat="1" applyFont="1" applyFill="1" applyBorder="1" applyAlignment="1" applyProtection="1">
      <alignment horizontal="right"/>
      <protection locked="0"/>
    </xf>
    <xf numFmtId="0" fontId="50" fillId="0" borderId="0" xfId="0" applyFont="1" applyFill="1" applyAlignment="1" applyProtection="1">
      <alignment horizontal="left"/>
    </xf>
    <xf numFmtId="0" fontId="77" fillId="0" borderId="0" xfId="0" applyFont="1" applyFill="1" applyProtection="1"/>
    <xf numFmtId="0" fontId="13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50" fillId="0" borderId="59" xfId="0" applyFont="1" applyFill="1" applyBorder="1" applyAlignment="1" applyProtection="1">
      <alignment horizontal="left"/>
    </xf>
    <xf numFmtId="0" fontId="50" fillId="0" borderId="97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0" fillId="0" borderId="19" xfId="0" applyFont="1" applyFill="1" applyBorder="1" applyAlignment="1" applyProtection="1">
      <alignment horizontal="left"/>
    </xf>
    <xf numFmtId="0" fontId="7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0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9" fillId="0" borderId="34" xfId="0" applyFont="1" applyFill="1" applyBorder="1" applyProtection="1"/>
    <xf numFmtId="0" fontId="9" fillId="0" borderId="81" xfId="0" applyFont="1" applyFill="1" applyBorder="1" applyProtection="1">
      <protection locked="0"/>
    </xf>
    <xf numFmtId="0" fontId="9" fillId="0" borderId="82" xfId="0" applyFont="1" applyFill="1" applyBorder="1" applyProtection="1"/>
    <xf numFmtId="0" fontId="9" fillId="0" borderId="82" xfId="0" applyFont="1" applyFill="1" applyBorder="1" applyProtection="1">
      <protection locked="0"/>
    </xf>
    <xf numFmtId="0" fontId="73" fillId="6" borderId="96" xfId="0" applyFont="1" applyFill="1" applyBorder="1" applyAlignment="1" applyProtection="1">
      <alignment horizontal="left"/>
    </xf>
    <xf numFmtId="0" fontId="13" fillId="0" borderId="0" xfId="0" applyFont="1" applyFill="1" applyProtection="1"/>
    <xf numFmtId="0" fontId="13" fillId="0" borderId="0" xfId="0" applyFont="1" applyFill="1" applyProtection="1">
      <protection locked="0"/>
    </xf>
    <xf numFmtId="0" fontId="50" fillId="0" borderId="60" xfId="0" applyFont="1" applyBorder="1" applyAlignment="1" applyProtection="1">
      <alignment horizontal="left"/>
    </xf>
    <xf numFmtId="0" fontId="50" fillId="0" borderId="19" xfId="0" applyFont="1" applyBorder="1" applyAlignment="1" applyProtection="1">
      <alignment horizontal="left"/>
      <protection locked="0"/>
    </xf>
    <xf numFmtId="0" fontId="9" fillId="0" borderId="58" xfId="0" applyFont="1" applyFill="1" applyBorder="1" applyProtection="1">
      <protection locked="0"/>
    </xf>
    <xf numFmtId="0" fontId="9" fillId="0" borderId="60" xfId="0" applyFont="1" applyFill="1" applyBorder="1" applyProtection="1">
      <protection locked="0"/>
    </xf>
    <xf numFmtId="0" fontId="12" fillId="0" borderId="0" xfId="0" applyFont="1" applyFill="1" applyProtection="1"/>
    <xf numFmtId="0" fontId="79" fillId="0" borderId="0" xfId="0" applyFont="1" applyFill="1" applyProtection="1"/>
    <xf numFmtId="0" fontId="50" fillId="0" borderId="65" xfId="0" applyFont="1" applyFill="1" applyBorder="1" applyAlignment="1" applyProtection="1">
      <alignment horizontal="left"/>
      <protection locked="0"/>
    </xf>
    <xf numFmtId="0" fontId="50" fillId="0" borderId="98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78" fillId="0" borderId="10" xfId="0" applyFont="1" applyFill="1" applyBorder="1" applyProtection="1">
      <protection locked="0"/>
    </xf>
    <xf numFmtId="0" fontId="9" fillId="0" borderId="84" xfId="0" applyFont="1" applyFill="1" applyBorder="1" applyProtection="1"/>
    <xf numFmtId="0" fontId="80" fillId="0" borderId="79" xfId="0" applyFont="1" applyFill="1" applyBorder="1" applyProtection="1"/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centerContinuous"/>
    </xf>
    <xf numFmtId="0" fontId="6" fillId="0" borderId="103" xfId="0" applyFont="1" applyFill="1" applyBorder="1" applyAlignment="1" applyProtection="1">
      <alignment horizontal="right" vertical="center"/>
    </xf>
    <xf numFmtId="0" fontId="81" fillId="0" borderId="104" xfId="0" applyFont="1" applyFill="1" applyBorder="1" applyAlignment="1" applyProtection="1">
      <alignment horizontal="center" vertical="center" wrapText="1"/>
    </xf>
    <xf numFmtId="0" fontId="81" fillId="0" borderId="105" xfId="0" applyFont="1" applyFill="1" applyBorder="1" applyAlignment="1" applyProtection="1">
      <alignment horizontal="center" vertical="center" wrapText="1"/>
    </xf>
    <xf numFmtId="0" fontId="6" fillId="0" borderId="106" xfId="0" applyFont="1" applyFill="1" applyBorder="1" applyAlignment="1" applyProtection="1">
      <alignment horizontal="right" vertical="center"/>
    </xf>
    <xf numFmtId="0" fontId="81" fillId="0" borderId="84" xfId="0" applyFont="1" applyFill="1" applyBorder="1" applyAlignment="1" applyProtection="1">
      <alignment horizontal="center" vertical="center" wrapText="1"/>
    </xf>
    <xf numFmtId="0" fontId="81" fillId="0" borderId="107" xfId="0" applyFont="1" applyFill="1" applyBorder="1" applyAlignment="1" applyProtection="1">
      <alignment horizontal="center" vertical="center" wrapText="1"/>
    </xf>
    <xf numFmtId="0" fontId="6" fillId="0" borderId="108" xfId="0" applyFont="1" applyFill="1" applyBorder="1" applyAlignment="1" applyProtection="1">
      <alignment horizontal="right" vertical="center"/>
    </xf>
    <xf numFmtId="0" fontId="81" fillId="0" borderId="109" xfId="0" applyFont="1" applyFill="1" applyBorder="1" applyAlignment="1" applyProtection="1">
      <alignment horizontal="center" vertical="center" wrapText="1"/>
    </xf>
    <xf numFmtId="0" fontId="82" fillId="0" borderId="0" xfId="0" applyFont="1" applyFill="1" applyAlignment="1" applyProtection="1">
      <alignment horizontal="right"/>
    </xf>
    <xf numFmtId="0" fontId="81" fillId="0" borderId="110" xfId="0" applyFont="1" applyFill="1" applyBorder="1" applyAlignment="1" applyProtection="1">
      <alignment horizontal="center" vertical="center" wrapText="1"/>
    </xf>
    <xf numFmtId="0" fontId="83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3" fontId="26" fillId="2" borderId="33" xfId="1" applyNumberFormat="1" applyFont="1" applyFill="1" applyBorder="1" applyAlignment="1" applyProtection="1">
      <alignment horizontal="right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3" fontId="30" fillId="2" borderId="111" xfId="1" applyNumberFormat="1" applyFont="1" applyFill="1" applyBorder="1" applyAlignment="1" applyProtection="1">
      <alignment horizontal="right"/>
      <protection locked="0"/>
    </xf>
    <xf numFmtId="0" fontId="30" fillId="0" borderId="48" xfId="0" applyFont="1" applyFill="1" applyBorder="1" applyAlignment="1" applyProtection="1">
      <alignment horizontal="centerContinuous"/>
      <protection locked="0"/>
    </xf>
    <xf numFmtId="3" fontId="30" fillId="2" borderId="112" xfId="1" applyNumberFormat="1" applyFont="1" applyFill="1" applyBorder="1" applyAlignment="1" applyProtection="1">
      <alignment horizontal="right"/>
      <protection locked="0"/>
    </xf>
    <xf numFmtId="3" fontId="30" fillId="2" borderId="113" xfId="1" applyNumberFormat="1" applyFont="1" applyFill="1" applyBorder="1" applyAlignment="1" applyProtection="1">
      <alignment horizontal="right"/>
      <protection locked="0"/>
    </xf>
    <xf numFmtId="0" fontId="45" fillId="0" borderId="16" xfId="0" quotePrefix="1" applyFont="1" applyFill="1" applyBorder="1" applyAlignment="1" applyProtection="1">
      <alignment horizontal="center"/>
    </xf>
    <xf numFmtId="0" fontId="12" fillId="2" borderId="16" xfId="0" quotePrefix="1" applyFont="1" applyFill="1" applyBorder="1" applyAlignment="1" applyProtection="1">
      <alignment horizontal="center"/>
      <protection locked="0"/>
    </xf>
    <xf numFmtId="0" fontId="6" fillId="0" borderId="0" xfId="3"/>
    <xf numFmtId="0" fontId="6" fillId="7" borderId="114" xfId="3" applyFill="1" applyBorder="1" applyAlignment="1">
      <alignment horizontal="center"/>
    </xf>
    <xf numFmtId="0" fontId="6" fillId="0" borderId="66" xfId="3" quotePrefix="1" applyBorder="1"/>
    <xf numFmtId="0" fontId="6" fillId="0" borderId="11" xfId="3" applyBorder="1" applyAlignment="1">
      <alignment horizontal="right"/>
    </xf>
    <xf numFmtId="0" fontId="6" fillId="0" borderId="13" xfId="3" applyBorder="1"/>
    <xf numFmtId="0" fontId="6" fillId="0" borderId="12" xfId="3" applyBorder="1" applyAlignment="1">
      <alignment horizontal="right"/>
    </xf>
    <xf numFmtId="0" fontId="6" fillId="0" borderId="67" xfId="3" applyBorder="1"/>
    <xf numFmtId="0" fontId="6" fillId="0" borderId="22" xfId="3" applyBorder="1" applyAlignment="1">
      <alignment horizontal="right"/>
    </xf>
    <xf numFmtId="3" fontId="84" fillId="0" borderId="0" xfId="0" applyNumberFormat="1" applyFont="1" applyFill="1" applyBorder="1" applyAlignment="1" applyProtection="1">
      <alignment horizontal="center"/>
    </xf>
    <xf numFmtId="3" fontId="84" fillId="0" borderId="15" xfId="0" applyNumberFormat="1" applyFont="1" applyFill="1" applyBorder="1" applyProtection="1"/>
    <xf numFmtId="3" fontId="84" fillId="0" borderId="0" xfId="0" applyNumberFormat="1" applyFont="1" applyFill="1" applyBorder="1" applyProtection="1"/>
    <xf numFmtId="0" fontId="85" fillId="0" borderId="46" xfId="0" applyFont="1" applyFill="1" applyBorder="1" applyProtection="1"/>
    <xf numFmtId="0" fontId="85" fillId="0" borderId="0" xfId="0" applyFont="1" applyFill="1" applyBorder="1" applyProtection="1"/>
    <xf numFmtId="0" fontId="84" fillId="0" borderId="30" xfId="0" applyFont="1" applyFill="1" applyBorder="1" applyProtection="1"/>
    <xf numFmtId="0" fontId="31" fillId="0" borderId="0" xfId="0" applyFont="1" applyFill="1" applyProtection="1"/>
    <xf numFmtId="0" fontId="30" fillId="0" borderId="0" xfId="0" applyFont="1" applyFill="1" applyProtection="1"/>
    <xf numFmtId="0" fontId="2" fillId="0" borderId="0" xfId="0" applyFont="1" applyFill="1" applyProtection="1"/>
    <xf numFmtId="0" fontId="6" fillId="0" borderId="16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  <protection locked="0"/>
    </xf>
    <xf numFmtId="0" fontId="49" fillId="0" borderId="67" xfId="0" applyFont="1" applyFill="1" applyBorder="1" applyAlignment="1" applyProtection="1">
      <alignment horizontal="left" wrapText="1"/>
    </xf>
    <xf numFmtId="0" fontId="86" fillId="0" borderId="0" xfId="0" applyFont="1" applyFill="1" applyProtection="1"/>
    <xf numFmtId="0" fontId="49" fillId="0" borderId="13" xfId="0" applyFont="1" applyFill="1" applyBorder="1" applyAlignment="1" applyProtection="1">
      <alignment horizontal="left" wrapText="1"/>
    </xf>
    <xf numFmtId="0" fontId="75" fillId="0" borderId="13" xfId="0" applyFont="1" applyFill="1" applyBorder="1" applyProtection="1"/>
    <xf numFmtId="165" fontId="9" fillId="0" borderId="0" xfId="4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</xf>
    <xf numFmtId="3" fontId="6" fillId="2" borderId="115" xfId="1" applyNumberFormat="1" applyFont="1" applyFill="1" applyBorder="1" applyAlignment="1" applyProtection="1">
      <alignment horizontal="right"/>
      <protection locked="0"/>
    </xf>
    <xf numFmtId="0" fontId="87" fillId="0" borderId="0" xfId="0" applyFont="1" applyFill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17" fillId="0" borderId="49" xfId="0" applyFont="1" applyFill="1" applyBorder="1" applyAlignment="1" applyProtection="1">
      <alignment horizontal="left" wrapText="1"/>
      <protection locked="0"/>
    </xf>
    <xf numFmtId="0" fontId="17" fillId="0" borderId="49" xfId="0" applyFont="1" applyFill="1" applyBorder="1" applyAlignment="1" applyProtection="1">
      <alignment wrapText="1"/>
      <protection locked="0"/>
    </xf>
    <xf numFmtId="0" fontId="2" fillId="0" borderId="36" xfId="0" applyFont="1" applyFill="1" applyBorder="1" applyAlignment="1" applyProtection="1">
      <alignment horizontal="left" wrapText="1"/>
      <protection locked="0"/>
    </xf>
    <xf numFmtId="0" fontId="2" fillId="0" borderId="36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left"/>
      <protection locked="0"/>
    </xf>
    <xf numFmtId="0" fontId="2" fillId="4" borderId="36" xfId="0" applyFont="1" applyFill="1" applyBorder="1" applyAlignment="1" applyProtection="1">
      <alignment horizontal="left"/>
      <protection locked="0"/>
    </xf>
    <xf numFmtId="3" fontId="11" fillId="2" borderId="32" xfId="0" applyNumberFormat="1" applyFont="1" applyFill="1" applyBorder="1" applyProtection="1">
      <protection locked="0"/>
    </xf>
    <xf numFmtId="0" fontId="8" fillId="0" borderId="0" xfId="0" applyFont="1" applyFill="1" applyAlignment="1" applyProtection="1">
      <alignment horizontal="left" wrapText="1"/>
    </xf>
    <xf numFmtId="0" fontId="29" fillId="0" borderId="0" xfId="0" applyFont="1" applyFill="1" applyAlignment="1" applyProtection="1">
      <alignment horizontal="center"/>
    </xf>
    <xf numFmtId="0" fontId="5" fillId="0" borderId="96" xfId="0" applyFont="1" applyFill="1" applyBorder="1" applyAlignment="1" applyProtection="1">
      <alignment horizontal="center" wrapText="1"/>
    </xf>
    <xf numFmtId="0" fontId="5" fillId="0" borderId="101" xfId="0" applyFont="1" applyFill="1" applyBorder="1" applyAlignment="1" applyProtection="1">
      <alignment horizontal="center" wrapText="1"/>
    </xf>
    <xf numFmtId="0" fontId="5" fillId="0" borderId="102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6" fillId="0" borderId="116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 wrapText="1"/>
    </xf>
    <xf numFmtId="0" fontId="6" fillId="0" borderId="96" xfId="0" applyFont="1" applyFill="1" applyBorder="1" applyAlignment="1" applyProtection="1">
      <alignment horizontal="center"/>
    </xf>
    <xf numFmtId="0" fontId="6" fillId="0" borderId="101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wrapText="1"/>
    </xf>
    <xf numFmtId="0" fontId="41" fillId="0" borderId="20" xfId="0" applyFont="1" applyFill="1" applyBorder="1" applyAlignment="1" applyProtection="1">
      <alignment horizontal="center" vertical="top" wrapText="1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116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wrapText="1"/>
    </xf>
  </cellXfs>
  <cellStyles count="7">
    <cellStyle name="Comma 2" xfId="4"/>
    <cellStyle name="Ezres" xfId="1" builtinId="3"/>
    <cellStyle name="Normál" xfId="0" builtinId="0"/>
    <cellStyle name="Normal 10" xfId="6"/>
    <cellStyle name="Normal 17" xfId="5"/>
    <cellStyle name="Normal 2" xfId="3"/>
    <cellStyle name="Százalék" xfId="2" builtinId="5"/>
  </cellStyles>
  <dxfs count="32"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5676900" y="37147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5676900" y="37147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27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22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26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26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27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787215</xdr:colOff>
      <xdr:row>0</xdr:row>
      <xdr:rowOff>11206</xdr:rowOff>
    </xdr:from>
    <xdr:to>
      <xdr:col>24</xdr:col>
      <xdr:colOff>196665</xdr:colOff>
      <xdr:row>0</xdr:row>
      <xdr:rowOff>11206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4115362" y="11206"/>
          <a:ext cx="28096509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22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25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D40"/>
  <sheetViews>
    <sheetView showGridLines="0" tabSelected="1" defaultGridColor="0" colorId="22" zoomScale="55" zoomScaleNormal="55" zoomScaleSheetLayoutView="50" workbookViewId="0">
      <selection activeCell="E13" sqref="E13"/>
    </sheetView>
  </sheetViews>
  <sheetFormatPr defaultColWidth="9.77734375" defaultRowHeight="15" outlineLevelCol="1"/>
  <cols>
    <col min="1" max="1" width="9.77734375" style="468"/>
    <col min="2" max="2" width="3.77734375" style="468" customWidth="1"/>
    <col min="3" max="3" width="54.109375" style="468" customWidth="1"/>
    <col min="4" max="4" width="11" style="468" customWidth="1"/>
    <col min="5" max="5" width="36.77734375" style="468" customWidth="1"/>
    <col min="6" max="6" width="10.77734375" style="468" customWidth="1"/>
    <col min="7" max="8" width="10.6640625" style="468" customWidth="1"/>
    <col min="9" max="9" width="30.77734375" style="468" customWidth="1"/>
    <col min="10" max="10" width="60.77734375" style="468" customWidth="1"/>
    <col min="11" max="11" width="5.33203125" style="468" customWidth="1"/>
    <col min="12" max="12" width="1" style="468" customWidth="1"/>
    <col min="13" max="13" width="9.33203125" style="468" customWidth="1"/>
    <col min="14" max="14" width="22.5546875" style="468" customWidth="1"/>
    <col min="15" max="15" width="5" style="468" bestFit="1" customWidth="1"/>
    <col min="16" max="16" width="10.88671875" style="468" customWidth="1"/>
    <col min="17" max="17" width="5" style="468" bestFit="1" customWidth="1"/>
    <col min="18" max="18" width="12.21875" style="468" customWidth="1"/>
    <col min="19" max="52" width="9.77734375" style="468"/>
    <col min="53" max="53" width="76.33203125" style="468" hidden="1" customWidth="1" outlineLevel="1"/>
    <col min="54" max="54" width="5" style="468" hidden="1" customWidth="1" outlineLevel="1"/>
    <col min="55" max="55" width="38.5546875" style="468" hidden="1" customWidth="1" outlineLevel="1"/>
    <col min="56" max="56" width="9.77734375" style="468" collapsed="1"/>
    <col min="57" max="16384" width="9.77734375" style="468"/>
  </cols>
  <sheetData>
    <row r="1" spans="1:55" ht="42" thickBot="1">
      <c r="A1" s="192"/>
      <c r="B1" s="385"/>
      <c r="C1" s="386"/>
      <c r="D1" s="386"/>
      <c r="E1" s="386"/>
      <c r="F1" s="385"/>
      <c r="G1" s="386"/>
      <c r="H1" s="386"/>
      <c r="I1" s="386"/>
      <c r="J1" s="386"/>
      <c r="K1" s="387"/>
      <c r="L1" s="387"/>
      <c r="M1" s="407"/>
      <c r="N1" s="523">
        <f>IF(SUM('Table 1'!AA2+'Table 2A'!AC2+'Table 2B'!AC2+'Table 2C'!AC2+'Table 2D'!AC2+'Table 3A'!AC2+'Table 3B'!AC2+'Table 3C'!AC2+'Table 3D'!AC2+'Table 3E'!AC2+'Table 4'!AB2)=0,0,"check sheet vintage!")</f>
        <v>0</v>
      </c>
      <c r="O1" s="534" t="s">
        <v>590</v>
      </c>
      <c r="P1" s="535"/>
      <c r="Q1" s="535"/>
      <c r="R1" s="536"/>
      <c r="Z1" s="384" t="s">
        <v>1002</v>
      </c>
      <c r="BA1" s="483" t="str">
        <f t="shared" ref="BA1:BA29" si="0">"Member State: "&amp;BC1</f>
        <v>Member State: XXXX</v>
      </c>
      <c r="BB1" s="484" t="s">
        <v>1000</v>
      </c>
      <c r="BC1" s="468" t="s">
        <v>602</v>
      </c>
    </row>
    <row r="2" spans="1:55" ht="41.25">
      <c r="A2" s="190"/>
      <c r="B2" s="385"/>
      <c r="C2" s="386"/>
      <c r="D2" s="386"/>
      <c r="E2" s="386"/>
      <c r="F2" s="385"/>
      <c r="G2" s="386"/>
      <c r="H2" s="386"/>
      <c r="I2" s="386"/>
      <c r="J2" s="386"/>
      <c r="K2" s="387"/>
      <c r="L2" s="387"/>
      <c r="M2" s="407"/>
      <c r="N2" s="384" t="s">
        <v>1014</v>
      </c>
      <c r="O2" s="473" t="s">
        <v>591</v>
      </c>
      <c r="P2" s="474" t="str">
        <f>IF(LEFT('Table 1'!E41,2)="OK","OK","not fully completed!")</f>
        <v>OK</v>
      </c>
      <c r="Q2" s="473" t="s">
        <v>592</v>
      </c>
      <c r="R2" s="475" t="str">
        <f>IF(LEFT('Table 3A'!D59,2)="OK","OK","not fully completed!")</f>
        <v>OK</v>
      </c>
      <c r="BA2" s="483" t="str">
        <f t="shared" si="0"/>
        <v>Member State: Belgium</v>
      </c>
      <c r="BB2" s="468" t="s">
        <v>605</v>
      </c>
      <c r="BC2" s="468" t="s">
        <v>606</v>
      </c>
    </row>
    <row r="3" spans="1:55" ht="34.5">
      <c r="A3" s="189"/>
      <c r="B3" s="385"/>
      <c r="C3" s="386"/>
      <c r="D3" s="386"/>
      <c r="E3" s="386"/>
      <c r="F3" s="385"/>
      <c r="G3" s="386"/>
      <c r="H3" s="386"/>
      <c r="I3" s="386"/>
      <c r="J3" s="386"/>
      <c r="K3" s="387"/>
      <c r="L3" s="387"/>
      <c r="M3" s="407"/>
      <c r="N3" s="471"/>
      <c r="O3" s="476" t="s">
        <v>593</v>
      </c>
      <c r="P3" s="477" t="str">
        <f>IF(LEFT('Table 2A'!D112,2)="OK","OK","not fully completed!")</f>
        <v>OK</v>
      </c>
      <c r="Q3" s="476" t="s">
        <v>594</v>
      </c>
      <c r="R3" s="478" t="str">
        <f>IF(LEFT('Table 3B'!D64,2)="OK","OK","not fully completed!")</f>
        <v>OK</v>
      </c>
      <c r="BA3" s="483" t="str">
        <f t="shared" si="0"/>
        <v>Member State: Bulgaria</v>
      </c>
      <c r="BB3" s="468" t="s">
        <v>607</v>
      </c>
      <c r="BC3" s="468" t="s">
        <v>608</v>
      </c>
    </row>
    <row r="4" spans="1:55" ht="41.25">
      <c r="A4" s="407"/>
      <c r="B4" s="469"/>
      <c r="C4" s="388" t="s">
        <v>0</v>
      </c>
      <c r="D4" s="388"/>
      <c r="E4" s="389"/>
      <c r="F4" s="389"/>
      <c r="G4" s="390"/>
      <c r="H4" s="390"/>
      <c r="I4" s="390"/>
      <c r="J4" s="390"/>
      <c r="K4" s="390"/>
      <c r="L4" s="390"/>
      <c r="M4" s="407"/>
      <c r="N4" s="407"/>
      <c r="O4" s="476" t="s">
        <v>595</v>
      </c>
      <c r="P4" s="477" t="str">
        <f>IF(LEFT('Table 2B'!D51,2)="OK","OK","not fully completed!")</f>
        <v>OK</v>
      </c>
      <c r="Q4" s="476" t="s">
        <v>596</v>
      </c>
      <c r="R4" s="478" t="str">
        <f>IF(LEFT('Table 3C'!D64,2)="OK","OK","not fully completed!")</f>
        <v>OK</v>
      </c>
      <c r="BA4" s="483" t="str">
        <f t="shared" si="0"/>
        <v>Member State: Czechia</v>
      </c>
      <c r="BB4" s="468" t="s">
        <v>613</v>
      </c>
      <c r="BC4" s="468" t="s">
        <v>1003</v>
      </c>
    </row>
    <row r="5" spans="1:55" ht="42">
      <c r="A5" s="391"/>
      <c r="B5" s="469"/>
      <c r="C5" s="392" t="s">
        <v>561</v>
      </c>
      <c r="D5" s="393"/>
      <c r="E5" s="389"/>
      <c r="F5" s="389"/>
      <c r="G5" s="390"/>
      <c r="H5" s="390"/>
      <c r="I5" s="390"/>
      <c r="J5" s="390"/>
      <c r="K5" s="390"/>
      <c r="L5" s="390"/>
      <c r="M5" s="407"/>
      <c r="N5" s="407"/>
      <c r="O5" s="476" t="s">
        <v>597</v>
      </c>
      <c r="P5" s="477" t="str">
        <f>IF(LEFT('Table 2C'!D55,2)="OK","OK","not fully completed!")</f>
        <v>OK</v>
      </c>
      <c r="Q5" s="476" t="s">
        <v>598</v>
      </c>
      <c r="R5" s="478" t="str">
        <f>IF(LEFT('Table 3D'!D64,2)="OK","OK","not fully completed!")</f>
        <v>OK</v>
      </c>
      <c r="BA5" s="483" t="str">
        <f t="shared" si="0"/>
        <v>Member State: Denmark</v>
      </c>
      <c r="BB5" s="468" t="s">
        <v>614</v>
      </c>
      <c r="BC5" s="468" t="s">
        <v>615</v>
      </c>
    </row>
    <row r="6" spans="1:55" ht="42.75" thickBot="1">
      <c r="A6" s="391"/>
      <c r="B6" s="469"/>
      <c r="C6" s="392" t="s">
        <v>89</v>
      </c>
      <c r="D6" s="393"/>
      <c r="E6" s="389"/>
      <c r="F6" s="389"/>
      <c r="G6" s="390"/>
      <c r="H6" s="390"/>
      <c r="I6" s="390"/>
      <c r="J6" s="390"/>
      <c r="K6" s="390"/>
      <c r="L6" s="390"/>
      <c r="M6" s="407"/>
      <c r="N6" s="407"/>
      <c r="O6" s="479" t="s">
        <v>599</v>
      </c>
      <c r="P6" s="480" t="str">
        <f>IF(LEFT('Table 2D'!D53,2)="OK","OK","not fully completed!")</f>
        <v>OK</v>
      </c>
      <c r="Q6" s="476" t="s">
        <v>600</v>
      </c>
      <c r="R6" s="478" t="str">
        <f>IF(LEFT('Table 3E'!D64,2)="OK","OK","not fully completed!")</f>
        <v>OK</v>
      </c>
      <c r="BA6" s="483" t="str">
        <f t="shared" si="0"/>
        <v>Member State: Germany</v>
      </c>
      <c r="BB6" s="468" t="s">
        <v>622</v>
      </c>
      <c r="BC6" s="468" t="s">
        <v>623</v>
      </c>
    </row>
    <row r="7" spans="1:55" ht="42.75" thickBot="1">
      <c r="A7" s="407"/>
      <c r="B7" s="469"/>
      <c r="C7" s="392"/>
      <c r="D7" s="394"/>
      <c r="E7" s="395"/>
      <c r="F7" s="407"/>
      <c r="G7" s="396"/>
      <c r="H7" s="396"/>
      <c r="I7" s="396"/>
      <c r="J7" s="390"/>
      <c r="K7" s="390"/>
      <c r="L7" s="390"/>
      <c r="M7" s="407"/>
      <c r="N7" s="407"/>
      <c r="O7" s="481"/>
      <c r="P7" s="481"/>
      <c r="Q7" s="479" t="s">
        <v>601</v>
      </c>
      <c r="R7" s="482" t="str">
        <f>IF(LEFT('Table 4'!F44,2)="OK","OK","not fully completed!")</f>
        <v>OK</v>
      </c>
      <c r="BA7" s="483" t="str">
        <f t="shared" si="0"/>
        <v>Member State: Estonia</v>
      </c>
      <c r="BB7" s="468" t="s">
        <v>616</v>
      </c>
      <c r="BC7" s="468" t="s">
        <v>617</v>
      </c>
    </row>
    <row r="8" spans="1:55" ht="10.5" customHeight="1" thickBot="1">
      <c r="A8" s="407"/>
      <c r="B8" s="469"/>
      <c r="C8" s="392"/>
      <c r="D8" s="397"/>
      <c r="E8" s="398"/>
      <c r="F8" s="398"/>
      <c r="G8" s="399"/>
      <c r="H8" s="399"/>
      <c r="I8" s="399"/>
      <c r="J8" s="390"/>
      <c r="K8" s="390"/>
      <c r="L8" s="390"/>
      <c r="M8" s="407"/>
      <c r="N8" s="407"/>
      <c r="BA8" s="483" t="str">
        <f t="shared" si="0"/>
        <v>Member State: Ireland</v>
      </c>
      <c r="BB8" s="468" t="s">
        <v>628</v>
      </c>
      <c r="BC8" s="468" t="s">
        <v>629</v>
      </c>
    </row>
    <row r="9" spans="1:55" ht="10.5" customHeight="1">
      <c r="A9" s="407"/>
      <c r="B9" s="469"/>
      <c r="C9" s="392"/>
      <c r="D9" s="394"/>
      <c r="E9" s="395"/>
      <c r="F9" s="395"/>
      <c r="G9" s="396"/>
      <c r="H9" s="396"/>
      <c r="I9" s="396"/>
      <c r="J9" s="390"/>
      <c r="K9" s="390"/>
      <c r="L9" s="390"/>
      <c r="M9" s="407"/>
      <c r="N9" s="407"/>
      <c r="BA9" s="483" t="str">
        <f t="shared" si="0"/>
        <v>Member State: Greece</v>
      </c>
      <c r="BB9" s="468" t="s">
        <v>624</v>
      </c>
      <c r="BC9" s="468" t="s">
        <v>625</v>
      </c>
    </row>
    <row r="10" spans="1:55" ht="42">
      <c r="A10" s="391"/>
      <c r="B10" s="400"/>
      <c r="C10" s="472" t="s">
        <v>562</v>
      </c>
      <c r="D10" s="394"/>
      <c r="E10" s="395"/>
      <c r="F10" s="395"/>
      <c r="G10" s="396"/>
      <c r="H10" s="396"/>
      <c r="I10" s="396"/>
      <c r="J10" s="390"/>
      <c r="K10" s="401"/>
      <c r="L10" s="390"/>
      <c r="M10" s="407"/>
      <c r="N10" s="407"/>
      <c r="BA10" s="483" t="str">
        <f t="shared" si="0"/>
        <v>Member State: Spain</v>
      </c>
      <c r="BB10" s="468" t="s">
        <v>650</v>
      </c>
      <c r="BC10" s="468" t="s">
        <v>651</v>
      </c>
    </row>
    <row r="11" spans="1:55" ht="33" customHeight="1">
      <c r="A11" s="407"/>
      <c r="B11" s="469"/>
      <c r="C11" s="533"/>
      <c r="D11" s="533"/>
      <c r="E11" s="533"/>
      <c r="F11" s="533"/>
      <c r="G11" s="533"/>
      <c r="H11" s="533"/>
      <c r="I11" s="533"/>
      <c r="J11" s="533"/>
      <c r="K11" s="390"/>
      <c r="L11" s="390"/>
      <c r="M11" s="407"/>
      <c r="N11" s="407"/>
      <c r="BA11" s="483" t="str">
        <f t="shared" si="0"/>
        <v>Member State: France</v>
      </c>
      <c r="BB11" s="468" t="s">
        <v>620</v>
      </c>
      <c r="BC11" s="468" t="s">
        <v>621</v>
      </c>
    </row>
    <row r="12" spans="1:55" ht="13.5" customHeight="1">
      <c r="A12" s="407"/>
      <c r="B12" s="469"/>
      <c r="C12" s="407"/>
      <c r="D12" s="407"/>
      <c r="E12" s="402"/>
      <c r="F12" s="188"/>
      <c r="G12" s="403"/>
      <c r="H12" s="390"/>
      <c r="I12" s="390"/>
      <c r="J12" s="390"/>
      <c r="K12" s="390"/>
      <c r="L12" s="390"/>
      <c r="M12" s="407"/>
      <c r="N12" s="407"/>
      <c r="BA12" s="483" t="str">
        <f t="shared" si="0"/>
        <v>Member State: Croatia</v>
      </c>
      <c r="BB12" s="468" t="s">
        <v>609</v>
      </c>
      <c r="BC12" s="468" t="s">
        <v>610</v>
      </c>
    </row>
    <row r="13" spans="1:55" ht="33.75">
      <c r="B13" s="470"/>
      <c r="C13" s="142"/>
      <c r="E13" s="143" t="s">
        <v>1016</v>
      </c>
      <c r="F13" s="415"/>
      <c r="G13" s="415"/>
      <c r="H13" s="415"/>
      <c r="I13" s="415"/>
      <c r="J13" s="141"/>
      <c r="K13" s="12"/>
      <c r="L13" s="12"/>
      <c r="BA13" s="483" t="str">
        <f t="shared" si="0"/>
        <v>Member State: Italy</v>
      </c>
      <c r="BB13" s="468" t="s">
        <v>630</v>
      </c>
      <c r="BC13" s="468" t="s">
        <v>631</v>
      </c>
    </row>
    <row r="14" spans="1:55" ht="33.75">
      <c r="B14" s="470"/>
      <c r="C14" s="142"/>
      <c r="E14" s="144" t="s">
        <v>1017</v>
      </c>
      <c r="F14" s="416"/>
      <c r="G14" s="417"/>
      <c r="H14" s="417"/>
      <c r="I14" s="417"/>
      <c r="J14" s="413" t="s">
        <v>443</v>
      </c>
      <c r="K14" s="12"/>
      <c r="L14" s="12"/>
      <c r="BA14" s="483" t="str">
        <f t="shared" si="0"/>
        <v>Member State: Cyprus</v>
      </c>
      <c r="BB14" s="468" t="s">
        <v>611</v>
      </c>
      <c r="BC14" s="468" t="s">
        <v>612</v>
      </c>
    </row>
    <row r="15" spans="1:55" ht="31.5">
      <c r="A15" s="407"/>
      <c r="B15" s="469"/>
      <c r="C15" s="295"/>
      <c r="D15" s="407"/>
      <c r="E15" s="404" t="s">
        <v>80</v>
      </c>
      <c r="F15" s="407"/>
      <c r="G15" s="405"/>
      <c r="H15" s="407"/>
      <c r="I15" s="407"/>
      <c r="J15" s="407"/>
      <c r="K15" s="407"/>
      <c r="L15" s="407"/>
      <c r="M15" s="407"/>
      <c r="N15" s="407"/>
      <c r="BA15" s="483" t="str">
        <f t="shared" si="0"/>
        <v>Member State: Latvia</v>
      </c>
      <c r="BB15" s="468" t="s">
        <v>632</v>
      </c>
      <c r="BC15" s="468" t="s">
        <v>633</v>
      </c>
    </row>
    <row r="16" spans="1:55" ht="31.5">
      <c r="A16" s="407"/>
      <c r="B16" s="469"/>
      <c r="C16" s="295"/>
      <c r="D16" s="404"/>
      <c r="E16" s="407"/>
      <c r="F16" s="407"/>
      <c r="G16" s="405"/>
      <c r="H16" s="407"/>
      <c r="I16" s="407"/>
      <c r="J16" s="407"/>
      <c r="K16" s="407"/>
      <c r="L16" s="407"/>
      <c r="M16" s="407"/>
      <c r="N16" s="407"/>
      <c r="BA16" s="483" t="str">
        <f t="shared" si="0"/>
        <v>Member State: Lithuania</v>
      </c>
      <c r="BB16" s="468" t="s">
        <v>634</v>
      </c>
      <c r="BC16" s="468" t="s">
        <v>635</v>
      </c>
    </row>
    <row r="17" spans="1:55" ht="23.25">
      <c r="A17" s="407"/>
      <c r="B17" s="469"/>
      <c r="C17" s="406" t="s">
        <v>573</v>
      </c>
      <c r="D17" s="406"/>
      <c r="E17" s="407"/>
      <c r="F17" s="407"/>
      <c r="G17" s="407"/>
      <c r="H17" s="407"/>
      <c r="I17" s="407"/>
      <c r="J17" s="407"/>
      <c r="K17" s="407"/>
      <c r="L17" s="407"/>
      <c r="M17" s="407"/>
      <c r="N17" s="407"/>
      <c r="BA17" s="483" t="str">
        <f t="shared" si="0"/>
        <v>Member State: Luxembourg</v>
      </c>
      <c r="BB17" s="468" t="s">
        <v>636</v>
      </c>
      <c r="BC17" s="468" t="s">
        <v>637</v>
      </c>
    </row>
    <row r="18" spans="1:55" ht="23.25">
      <c r="A18" s="407"/>
      <c r="B18" s="469"/>
      <c r="C18" s="406"/>
      <c r="D18" s="406"/>
      <c r="E18" s="407"/>
      <c r="F18" s="407"/>
      <c r="G18" s="407"/>
      <c r="H18" s="407"/>
      <c r="I18" s="407"/>
      <c r="J18" s="407"/>
      <c r="K18" s="407"/>
      <c r="L18" s="407"/>
      <c r="M18" s="407"/>
      <c r="N18" s="407"/>
      <c r="BA18" s="483" t="str">
        <f t="shared" si="0"/>
        <v>Member State: Hungary</v>
      </c>
      <c r="BB18" s="468" t="s">
        <v>626</v>
      </c>
      <c r="BC18" s="468" t="s">
        <v>627</v>
      </c>
    </row>
    <row r="19" spans="1:55" ht="23.25" customHeight="1">
      <c r="A19" s="226"/>
      <c r="B19" s="408"/>
      <c r="C19" s="532" t="s">
        <v>1012</v>
      </c>
      <c r="D19" s="532"/>
      <c r="E19" s="532"/>
      <c r="F19" s="532"/>
      <c r="G19" s="532"/>
      <c r="H19" s="532"/>
      <c r="I19" s="532"/>
      <c r="J19" s="532"/>
      <c r="K19" s="226"/>
      <c r="L19" s="226"/>
      <c r="M19" s="226"/>
      <c r="N19" s="226"/>
      <c r="O19" s="13"/>
      <c r="P19" s="13"/>
      <c r="BA19" s="483" t="str">
        <f t="shared" si="0"/>
        <v>Member State: Malta</v>
      </c>
      <c r="BB19" s="468" t="s">
        <v>638</v>
      </c>
      <c r="BC19" s="468" t="s">
        <v>639</v>
      </c>
    </row>
    <row r="20" spans="1:55" ht="23.25" customHeight="1">
      <c r="A20" s="226"/>
      <c r="B20" s="408"/>
      <c r="C20" s="532"/>
      <c r="D20" s="532"/>
      <c r="E20" s="532"/>
      <c r="F20" s="532"/>
      <c r="G20" s="532"/>
      <c r="H20" s="532"/>
      <c r="I20" s="532"/>
      <c r="J20" s="532"/>
      <c r="K20" s="226"/>
      <c r="L20" s="226"/>
      <c r="M20" s="226"/>
      <c r="N20" s="226"/>
      <c r="O20" s="13"/>
      <c r="P20" s="13"/>
      <c r="BA20" s="483" t="str">
        <f t="shared" si="0"/>
        <v>Member State: Netherlands</v>
      </c>
      <c r="BB20" s="468" t="s">
        <v>640</v>
      </c>
      <c r="BC20" s="468" t="s">
        <v>1004</v>
      </c>
    </row>
    <row r="21" spans="1:55" ht="23.25">
      <c r="A21" s="226"/>
      <c r="B21" s="408"/>
      <c r="C21" s="406"/>
      <c r="D21" s="406"/>
      <c r="E21" s="407"/>
      <c r="F21" s="407"/>
      <c r="G21" s="407"/>
      <c r="H21" s="407"/>
      <c r="I21" s="407"/>
      <c r="J21" s="407"/>
      <c r="K21" s="226"/>
      <c r="L21" s="226"/>
      <c r="M21" s="226"/>
      <c r="N21" s="226"/>
      <c r="O21" s="13"/>
      <c r="P21" s="13"/>
      <c r="BA21" s="483" t="str">
        <f t="shared" si="0"/>
        <v>Member State: Austria</v>
      </c>
      <c r="BB21" s="468" t="s">
        <v>603</v>
      </c>
      <c r="BC21" s="468" t="s">
        <v>604</v>
      </c>
    </row>
    <row r="22" spans="1:55" ht="23.25" customHeight="1">
      <c r="A22" s="226"/>
      <c r="B22" s="407"/>
      <c r="C22" s="532" t="s">
        <v>574</v>
      </c>
      <c r="D22" s="532"/>
      <c r="E22" s="532"/>
      <c r="F22" s="532"/>
      <c r="G22" s="532"/>
      <c r="H22" s="532"/>
      <c r="I22" s="532"/>
      <c r="J22" s="532"/>
      <c r="K22" s="407"/>
      <c r="L22" s="407"/>
      <c r="M22" s="407"/>
      <c r="N22" s="407"/>
      <c r="BA22" s="483" t="str">
        <f t="shared" si="0"/>
        <v>Member State: Poland</v>
      </c>
      <c r="BB22" s="468" t="s">
        <v>641</v>
      </c>
      <c r="BC22" s="468" t="s">
        <v>642</v>
      </c>
    </row>
    <row r="23" spans="1:55" ht="23.25" customHeight="1">
      <c r="A23" s="226"/>
      <c r="B23" s="407"/>
      <c r="C23" s="532"/>
      <c r="D23" s="532"/>
      <c r="E23" s="532"/>
      <c r="F23" s="532"/>
      <c r="G23" s="532"/>
      <c r="H23" s="532"/>
      <c r="I23" s="532"/>
      <c r="J23" s="532"/>
      <c r="K23" s="407"/>
      <c r="L23" s="407"/>
      <c r="M23" s="407"/>
      <c r="N23" s="407"/>
      <c r="BA23" s="483" t="str">
        <f t="shared" si="0"/>
        <v>Member State: Portugal</v>
      </c>
      <c r="BB23" s="468" t="s">
        <v>643</v>
      </c>
      <c r="BC23" s="468" t="s">
        <v>644</v>
      </c>
    </row>
    <row r="24" spans="1:55" ht="23.25">
      <c r="A24" s="226"/>
      <c r="B24" s="407"/>
      <c r="C24" s="406"/>
      <c r="D24" s="406"/>
      <c r="E24" s="407"/>
      <c r="F24" s="407"/>
      <c r="G24" s="407"/>
      <c r="H24" s="407"/>
      <c r="I24" s="407"/>
      <c r="J24" s="407"/>
      <c r="K24" s="407"/>
      <c r="L24" s="407"/>
      <c r="M24" s="407"/>
      <c r="N24" s="407"/>
      <c r="BA24" s="483" t="str">
        <f t="shared" si="0"/>
        <v>Member State: Romania</v>
      </c>
      <c r="BB24" s="468" t="s">
        <v>645</v>
      </c>
      <c r="BC24" s="468" t="s">
        <v>646</v>
      </c>
    </row>
    <row r="25" spans="1:55" ht="23.25">
      <c r="A25" s="409"/>
      <c r="B25" s="407"/>
      <c r="C25" s="410" t="s">
        <v>1</v>
      </c>
      <c r="D25" s="410"/>
      <c r="E25" s="407"/>
      <c r="F25" s="407"/>
      <c r="G25" s="407"/>
      <c r="H25" s="407"/>
      <c r="I25" s="407"/>
      <c r="J25" s="407"/>
      <c r="K25" s="407"/>
      <c r="L25" s="407"/>
      <c r="M25" s="407"/>
      <c r="N25" s="407"/>
      <c r="BA25" s="483" t="str">
        <f t="shared" si="0"/>
        <v>Member State: Slovenia</v>
      </c>
      <c r="BB25" s="468" t="s">
        <v>648</v>
      </c>
      <c r="BC25" s="468" t="s">
        <v>649</v>
      </c>
    </row>
    <row r="26" spans="1:55" ht="23.25">
      <c r="A26" s="226"/>
      <c r="B26" s="408"/>
      <c r="C26" s="407"/>
      <c r="D26" s="407"/>
      <c r="E26" s="407"/>
      <c r="F26" s="407"/>
      <c r="G26" s="407"/>
      <c r="H26" s="407"/>
      <c r="I26" s="407"/>
      <c r="J26" s="407"/>
      <c r="K26" s="226"/>
      <c r="L26" s="226"/>
      <c r="M26" s="226"/>
      <c r="N26" s="407"/>
      <c r="BA26" s="483" t="str">
        <f t="shared" si="0"/>
        <v>Member State: Slovakia</v>
      </c>
      <c r="BB26" s="468" t="s">
        <v>647</v>
      </c>
      <c r="BC26" s="468" t="s">
        <v>1005</v>
      </c>
    </row>
    <row r="27" spans="1:55" ht="23.25">
      <c r="A27" s="226"/>
      <c r="B27" s="408"/>
      <c r="C27" s="407"/>
      <c r="D27" s="407"/>
      <c r="E27" s="407"/>
      <c r="F27" s="407"/>
      <c r="G27" s="407"/>
      <c r="H27" s="407"/>
      <c r="I27" s="407"/>
      <c r="J27" s="407"/>
      <c r="K27" s="226"/>
      <c r="L27" s="226"/>
      <c r="M27" s="226"/>
      <c r="N27" s="407"/>
      <c r="BA27" s="483" t="str">
        <f t="shared" si="0"/>
        <v>Member State: Finland</v>
      </c>
      <c r="BB27" s="468" t="s">
        <v>618</v>
      </c>
      <c r="BC27" s="468" t="s">
        <v>619</v>
      </c>
    </row>
    <row r="28" spans="1:55" ht="23.25">
      <c r="A28" s="226"/>
      <c r="B28" s="408"/>
      <c r="C28" s="411" t="s">
        <v>450</v>
      </c>
      <c r="D28" s="407"/>
      <c r="E28" s="407"/>
      <c r="F28" s="407"/>
      <c r="G28" s="407"/>
      <c r="H28" s="407"/>
      <c r="I28" s="407"/>
      <c r="J28" s="407"/>
      <c r="K28" s="226"/>
      <c r="L28" s="226"/>
      <c r="M28" s="226"/>
      <c r="N28" s="407"/>
      <c r="BA28" s="483" t="str">
        <f t="shared" si="0"/>
        <v>Member State: Sweden</v>
      </c>
      <c r="BB28" s="468" t="s">
        <v>652</v>
      </c>
      <c r="BC28" s="468" t="s">
        <v>653</v>
      </c>
    </row>
    <row r="29" spans="1:55" ht="36" customHeight="1">
      <c r="A29" s="226"/>
      <c r="B29" s="408"/>
      <c r="C29" s="411" t="s">
        <v>72</v>
      </c>
      <c r="D29" s="412"/>
      <c r="E29" s="407"/>
      <c r="F29" s="407"/>
      <c r="G29" s="412"/>
      <c r="H29" s="412"/>
      <c r="I29" s="407"/>
      <c r="J29" s="407"/>
      <c r="K29" s="226"/>
      <c r="L29" s="226"/>
      <c r="M29" s="226"/>
      <c r="N29" s="407"/>
      <c r="BA29" s="483" t="str">
        <f t="shared" si="0"/>
        <v>Member State: United Kingdom</v>
      </c>
      <c r="BB29" s="468" t="s">
        <v>654</v>
      </c>
      <c r="BC29" s="468" t="s">
        <v>655</v>
      </c>
    </row>
    <row r="30" spans="1:55" ht="23.25">
      <c r="A30" s="226"/>
      <c r="B30" s="408"/>
      <c r="C30" s="411" t="s">
        <v>444</v>
      </c>
      <c r="D30" s="407"/>
      <c r="E30" s="407"/>
      <c r="F30" s="407"/>
      <c r="G30" s="407"/>
      <c r="H30" s="407"/>
      <c r="I30" s="407"/>
      <c r="J30" s="407"/>
      <c r="K30" s="226"/>
      <c r="L30" s="226"/>
      <c r="M30" s="226"/>
      <c r="N30" s="407"/>
      <c r="BA30" s="483" t="str">
        <f>BC30</f>
        <v>Iceland</v>
      </c>
      <c r="BB30" s="468" t="s">
        <v>658</v>
      </c>
      <c r="BC30" s="468" t="s">
        <v>659</v>
      </c>
    </row>
    <row r="31" spans="1:55" ht="23.25">
      <c r="A31" s="226"/>
      <c r="B31" s="408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407"/>
      <c r="BA31" s="483" t="str">
        <f t="shared" ref="BA31:BA40" si="1">BC31</f>
        <v>Liechtenstein</v>
      </c>
      <c r="BB31" s="468" t="s">
        <v>1006</v>
      </c>
      <c r="BC31" s="468" t="s">
        <v>1007</v>
      </c>
    </row>
    <row r="32" spans="1:55" ht="23.25">
      <c r="A32" s="226"/>
      <c r="B32" s="408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407"/>
      <c r="BA32" s="483" t="str">
        <f t="shared" si="1"/>
        <v>Norway</v>
      </c>
      <c r="BB32" s="468" t="s">
        <v>663</v>
      </c>
      <c r="BC32" s="468" t="s">
        <v>664</v>
      </c>
    </row>
    <row r="33" spans="1:55" ht="23.25">
      <c r="A33" s="13"/>
      <c r="B33" s="74"/>
      <c r="E33" s="146"/>
      <c r="F33" s="146"/>
      <c r="G33" s="13"/>
      <c r="H33" s="13"/>
      <c r="I33" s="13"/>
      <c r="J33" s="13"/>
      <c r="K33" s="13"/>
      <c r="L33" s="13"/>
      <c r="M33" s="13"/>
      <c r="BA33" s="483" t="str">
        <f t="shared" si="1"/>
        <v>Switzerland</v>
      </c>
      <c r="BB33" s="468" t="s">
        <v>667</v>
      </c>
      <c r="BC33" s="468" t="s">
        <v>668</v>
      </c>
    </row>
    <row r="34" spans="1:55" ht="23.25">
      <c r="A34" s="13"/>
      <c r="B34" s="7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483" t="str">
        <f t="shared" si="1"/>
        <v>Albania</v>
      </c>
      <c r="BB34" s="468" t="s">
        <v>656</v>
      </c>
      <c r="BC34" s="468" t="s">
        <v>657</v>
      </c>
    </row>
    <row r="35" spans="1:55" ht="23.25">
      <c r="A35" s="13"/>
      <c r="B35" s="7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483" t="str">
        <f t="shared" si="1"/>
        <v>Republic of North Macedonia</v>
      </c>
      <c r="BB35" s="468" t="s">
        <v>660</v>
      </c>
      <c r="BC35" s="468" t="s">
        <v>1013</v>
      </c>
    </row>
    <row r="36" spans="1:55" ht="30.75">
      <c r="A36" s="147"/>
      <c r="B36" s="148"/>
      <c r="C36" s="149"/>
      <c r="D36" s="12"/>
      <c r="E36" s="147"/>
      <c r="F36" s="147"/>
      <c r="G36" s="147"/>
      <c r="H36" s="147"/>
      <c r="I36" s="147"/>
      <c r="J36" s="147"/>
      <c r="K36" s="147"/>
      <c r="L36" s="147"/>
      <c r="M36" s="147"/>
      <c r="N36" s="12"/>
      <c r="BA36" s="483" t="str">
        <f t="shared" si="1"/>
        <v>Montenegro</v>
      </c>
      <c r="BB36" s="468" t="s">
        <v>661</v>
      </c>
      <c r="BC36" s="468" t="s">
        <v>662</v>
      </c>
    </row>
    <row r="37" spans="1:55" ht="23.25">
      <c r="A37" s="13"/>
      <c r="B37" s="74"/>
      <c r="C37" s="145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483" t="str">
        <f t="shared" si="1"/>
        <v>Turkey</v>
      </c>
      <c r="BB37" s="468" t="s">
        <v>669</v>
      </c>
      <c r="BC37" s="468" t="s">
        <v>670</v>
      </c>
    </row>
    <row r="38" spans="1:55" ht="23.25">
      <c r="A38" s="13"/>
      <c r="B38" s="74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483" t="str">
        <f t="shared" si="1"/>
        <v>Serbia</v>
      </c>
      <c r="BB38" s="468" t="s">
        <v>665</v>
      </c>
      <c r="BC38" s="468" t="s">
        <v>666</v>
      </c>
    </row>
    <row r="39" spans="1:55" ht="23.25">
      <c r="A39" s="13"/>
      <c r="B39" s="7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483" t="str">
        <f t="shared" si="1"/>
        <v>Bosnia and Herzegovina</v>
      </c>
      <c r="BB39" s="468" t="s">
        <v>1008</v>
      </c>
      <c r="BC39" s="468" t="s">
        <v>1009</v>
      </c>
    </row>
    <row r="40" spans="1:55" ht="23.25">
      <c r="A40" s="13"/>
      <c r="B40" s="7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483" t="str">
        <f t="shared" si="1"/>
        <v>Kosovo*</v>
      </c>
      <c r="BB40" s="468" t="s">
        <v>1010</v>
      </c>
      <c r="BC40" s="468" t="s">
        <v>1011</v>
      </c>
    </row>
  </sheetData>
  <sheetProtection algorithmName="SHA-512" hashValue="97/GcfXnSh7+LWhUkXgpMNFqfTP8i6+kfNM49pkyEdZY/tOID0s+TtYxNzO4NrzliIBqyMg5CqGd/Kmv6niYCA==" saltValue="ZaeOV09rUB8j7DmVl7muNA==" spinCount="100000" sheet="1" objects="1" formatColumns="0" formatRows="0"/>
  <mergeCells count="4">
    <mergeCell ref="C19:J20"/>
    <mergeCell ref="C22:J23"/>
    <mergeCell ref="C11:J11"/>
    <mergeCell ref="O1:R1"/>
  </mergeCells>
  <phoneticPr fontId="35" type="noConversion"/>
  <conditionalFormatting sqref="E13">
    <cfRule type="cellIs" dxfId="31" priority="5" operator="equal">
      <formula>""</formula>
    </cfRule>
  </conditionalFormatting>
  <conditionalFormatting sqref="R2:R7 P2:P6">
    <cfRule type="cellIs" dxfId="30" priority="4" operator="equal">
      <formula>"not fully completed!"</formula>
    </cfRule>
  </conditionalFormatting>
  <conditionalFormatting sqref="N1">
    <cfRule type="containsText" dxfId="29" priority="1" operator="containsText" text="check sheet vintage">
      <formula>NOT(ISERROR(SEARCH("check sheet vintage",N1)))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$BA$1:$BA$40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5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BB77"/>
  <sheetViews>
    <sheetView showGridLines="0" defaultGridColor="0" topLeftCell="C1" colorId="22" zoomScale="55" zoomScaleNormal="55" zoomScaleSheetLayoutView="80" workbookViewId="0"/>
  </sheetViews>
  <sheetFormatPr defaultColWidth="9.77734375" defaultRowHeight="15"/>
  <cols>
    <col min="1" max="1" width="37.5546875" style="30" hidden="1" customWidth="1"/>
    <col min="2" max="2" width="39" style="20" customWidth="1"/>
    <col min="3" max="3" width="67.5546875" style="28" customWidth="1"/>
    <col min="4" max="24" width="13.33203125" style="23" customWidth="1"/>
    <col min="25" max="25" width="86.6640625" style="23" customWidth="1"/>
    <col min="26" max="26" width="5.33203125" style="23" customWidth="1"/>
    <col min="27" max="27" width="1" style="23" customWidth="1"/>
    <col min="28" max="28" width="0.5546875" style="23" customWidth="1"/>
    <col min="29" max="29" width="9.77734375" style="23"/>
    <col min="30" max="30" width="12" style="23" customWidth="1"/>
    <col min="31" max="31" width="13.109375" style="23" customWidth="1"/>
    <col min="32" max="32" width="9.33203125" style="23" customWidth="1"/>
    <col min="33" max="53" width="9.77734375" style="23"/>
    <col min="54" max="54" width="9.77734375" style="315"/>
    <col min="55" max="16384" width="9.77734375" style="23"/>
  </cols>
  <sheetData>
    <row r="1" spans="1:54">
      <c r="C1" s="366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AC1" s="219" t="s">
        <v>1014</v>
      </c>
      <c r="AD1" s="219">
        <v>3</v>
      </c>
      <c r="AE1" s="219">
        <v>4</v>
      </c>
      <c r="AF1" s="219">
        <v>5</v>
      </c>
      <c r="AG1" s="219">
        <v>6</v>
      </c>
      <c r="AH1" s="219">
        <f>AG1+1</f>
        <v>7</v>
      </c>
      <c r="AI1" s="219">
        <f t="shared" ref="AI1:AT1" si="0">AH1+1</f>
        <v>8</v>
      </c>
      <c r="AJ1" s="219">
        <f t="shared" si="0"/>
        <v>9</v>
      </c>
      <c r="AK1" s="219">
        <f t="shared" si="0"/>
        <v>10</v>
      </c>
      <c r="AL1" s="219">
        <f t="shared" si="0"/>
        <v>11</v>
      </c>
      <c r="AM1" s="219">
        <f t="shared" si="0"/>
        <v>12</v>
      </c>
      <c r="AN1" s="219">
        <f t="shared" si="0"/>
        <v>13</v>
      </c>
      <c r="AO1" s="219">
        <f t="shared" si="0"/>
        <v>14</v>
      </c>
      <c r="AP1" s="219">
        <f t="shared" si="0"/>
        <v>15</v>
      </c>
      <c r="AQ1" s="219">
        <f t="shared" si="0"/>
        <v>16</v>
      </c>
      <c r="AR1" s="219">
        <f t="shared" si="0"/>
        <v>17</v>
      </c>
      <c r="AS1" s="219">
        <f t="shared" si="0"/>
        <v>18</v>
      </c>
      <c r="AT1" s="219">
        <f t="shared" si="0"/>
        <v>19</v>
      </c>
    </row>
    <row r="2" spans="1:54" ht="18">
      <c r="B2" s="30" t="s">
        <v>35</v>
      </c>
      <c r="C2" s="293" t="s">
        <v>587</v>
      </c>
      <c r="D2" s="223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AB2" s="13"/>
      <c r="AC2" s="219">
        <f>IF($AC$1='Cover page'!$N$2,0,1)</f>
        <v>0</v>
      </c>
    </row>
    <row r="3" spans="1:54" ht="18">
      <c r="B3" s="30"/>
      <c r="C3" s="293" t="s">
        <v>60</v>
      </c>
      <c r="D3" s="223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AB3" s="13"/>
    </row>
    <row r="4" spans="1:54" ht="16.5" thickBot="1">
      <c r="B4" s="30"/>
      <c r="C4" s="344"/>
      <c r="D4" s="367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AB4" s="13"/>
    </row>
    <row r="5" spans="1:54" ht="16.5" thickTop="1">
      <c r="A5" s="157"/>
      <c r="B5" s="167"/>
      <c r="C5" s="296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40"/>
      <c r="Z5" s="41"/>
      <c r="AB5" s="13"/>
    </row>
    <row r="6" spans="1:54" ht="15.75">
      <c r="A6" s="151"/>
      <c r="B6" s="150"/>
      <c r="C6" s="224" t="str">
        <f>'Cover page'!E13</f>
        <v>Member State: Hungary</v>
      </c>
      <c r="D6" s="538" t="s">
        <v>2</v>
      </c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39"/>
      <c r="S6" s="539"/>
      <c r="T6" s="539"/>
      <c r="U6" s="539"/>
      <c r="V6" s="539"/>
      <c r="W6" s="539"/>
      <c r="X6" s="539"/>
      <c r="Y6" s="43"/>
      <c r="Z6" s="50"/>
    </row>
    <row r="7" spans="1:54" ht="15.75">
      <c r="A7" s="234"/>
      <c r="B7" s="327" t="s">
        <v>485</v>
      </c>
      <c r="C7" s="22" t="s">
        <v>1018</v>
      </c>
      <c r="D7" s="299">
        <f>'Table 1'!E5</f>
        <v>1995</v>
      </c>
      <c r="E7" s="299">
        <f>D7+1</f>
        <v>1996</v>
      </c>
      <c r="F7" s="299">
        <f t="shared" ref="F7:I7" si="1">E7+1</f>
        <v>1997</v>
      </c>
      <c r="G7" s="299">
        <f t="shared" si="1"/>
        <v>1998</v>
      </c>
      <c r="H7" s="299">
        <f t="shared" si="1"/>
        <v>1999</v>
      </c>
      <c r="I7" s="299">
        <f t="shared" si="1"/>
        <v>2000</v>
      </c>
      <c r="J7" s="299">
        <f t="shared" ref="J7" si="2">I7+1</f>
        <v>2001</v>
      </c>
      <c r="K7" s="299">
        <f t="shared" ref="K7" si="3">J7+1</f>
        <v>2002</v>
      </c>
      <c r="L7" s="299">
        <f t="shared" ref="L7" si="4">K7+1</f>
        <v>2003</v>
      </c>
      <c r="M7" s="299">
        <f t="shared" ref="M7" si="5">L7+1</f>
        <v>2004</v>
      </c>
      <c r="N7" s="299">
        <f t="shared" ref="N7" si="6">M7+1</f>
        <v>2005</v>
      </c>
      <c r="O7" s="299">
        <f t="shared" ref="O7" si="7">N7+1</f>
        <v>2006</v>
      </c>
      <c r="P7" s="299">
        <f t="shared" ref="P7" si="8">O7+1</f>
        <v>2007</v>
      </c>
      <c r="Q7" s="299">
        <f t="shared" ref="Q7" si="9">P7+1</f>
        <v>2008</v>
      </c>
      <c r="R7" s="299">
        <f t="shared" ref="R7" si="10">Q7+1</f>
        <v>2009</v>
      </c>
      <c r="S7" s="299">
        <f t="shared" ref="S7" si="11">R7+1</f>
        <v>2010</v>
      </c>
      <c r="T7" s="299">
        <f t="shared" ref="T7" si="12">S7+1</f>
        <v>2011</v>
      </c>
      <c r="U7" s="299">
        <f t="shared" ref="U7" si="13">T7+1</f>
        <v>2012</v>
      </c>
      <c r="V7" s="299">
        <f t="shared" ref="V7:X7" si="14">U7+1</f>
        <v>2013</v>
      </c>
      <c r="W7" s="299">
        <f t="shared" si="14"/>
        <v>2014</v>
      </c>
      <c r="X7" s="299">
        <f t="shared" si="14"/>
        <v>2015</v>
      </c>
      <c r="Y7" s="45"/>
      <c r="Z7" s="50"/>
    </row>
    <row r="8" spans="1:54" ht="15.75">
      <c r="A8" s="234"/>
      <c r="B8" s="288"/>
      <c r="C8" s="238" t="str">
        <f>'Cover page'!E14</f>
        <v>Date: 09/04/2020</v>
      </c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493"/>
      <c r="W8" s="493"/>
      <c r="X8" s="493"/>
      <c r="Y8" s="55"/>
      <c r="Z8" s="50"/>
    </row>
    <row r="9" spans="1:54" ht="10.5" customHeight="1" thickBot="1">
      <c r="A9" s="234"/>
      <c r="B9" s="292"/>
      <c r="C9" s="29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88"/>
      <c r="W9" s="488"/>
      <c r="X9" s="488"/>
      <c r="Y9" s="63"/>
      <c r="Z9" s="50"/>
    </row>
    <row r="10" spans="1:54" ht="17.25" thickTop="1" thickBot="1">
      <c r="A10" s="290" t="s">
        <v>344</v>
      </c>
      <c r="B10" s="414" t="s">
        <v>943</v>
      </c>
      <c r="C10" s="312" t="s">
        <v>570</v>
      </c>
      <c r="D10" s="86" t="s">
        <v>1019</v>
      </c>
      <c r="E10" s="86" t="s">
        <v>1019</v>
      </c>
      <c r="F10" s="86" t="s">
        <v>1019</v>
      </c>
      <c r="G10" s="86" t="s">
        <v>1019</v>
      </c>
      <c r="H10" s="86" t="s">
        <v>1019</v>
      </c>
      <c r="I10" s="86" t="s">
        <v>1019</v>
      </c>
      <c r="J10" s="86" t="s">
        <v>1019</v>
      </c>
      <c r="K10" s="86" t="s">
        <v>1019</v>
      </c>
      <c r="L10" s="86" t="s">
        <v>1019</v>
      </c>
      <c r="M10" s="86" t="s">
        <v>1019</v>
      </c>
      <c r="N10" s="86" t="s">
        <v>1019</v>
      </c>
      <c r="O10" s="86" t="s">
        <v>1019</v>
      </c>
      <c r="P10" s="86" t="s">
        <v>1019</v>
      </c>
      <c r="Q10" s="86" t="s">
        <v>1019</v>
      </c>
      <c r="R10" s="86" t="s">
        <v>1019</v>
      </c>
      <c r="S10" s="86" t="s">
        <v>1019</v>
      </c>
      <c r="T10" s="86" t="s">
        <v>1019</v>
      </c>
      <c r="U10" s="86" t="s">
        <v>1019</v>
      </c>
      <c r="V10" s="87" t="s">
        <v>1019</v>
      </c>
      <c r="W10" s="87" t="s">
        <v>1019</v>
      </c>
      <c r="X10" s="87" t="s">
        <v>1019</v>
      </c>
      <c r="Y10" s="4"/>
      <c r="Z10" s="50"/>
      <c r="BB10" s="315" t="str">
        <f>CountryCode &amp; ".T3.B9.S1312.MNAC." &amp; RefVintage</f>
        <v>HU.T3.B9.S1312.MNAC.W.2020</v>
      </c>
    </row>
    <row r="11" spans="1:54" ht="6" customHeight="1" thickTop="1">
      <c r="A11" s="290"/>
      <c r="B11" s="150"/>
      <c r="C11" s="352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88"/>
      <c r="X11" s="88"/>
      <c r="Y11" s="7"/>
      <c r="Z11" s="50"/>
    </row>
    <row r="12" spans="1:54" s="18" customFormat="1" ht="16.5" customHeight="1">
      <c r="A12" s="290" t="s">
        <v>345</v>
      </c>
      <c r="B12" s="414" t="s">
        <v>944</v>
      </c>
      <c r="C12" s="353" t="s">
        <v>93</v>
      </c>
      <c r="D12" s="213" t="str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13" t="str">
        <f t="shared" si="15"/>
        <v>M</v>
      </c>
      <c r="F12" s="213" t="str">
        <f t="shared" si="15"/>
        <v>M</v>
      </c>
      <c r="G12" s="213" t="str">
        <f t="shared" si="15"/>
        <v>M</v>
      </c>
      <c r="H12" s="213" t="str">
        <f t="shared" si="15"/>
        <v>M</v>
      </c>
      <c r="I12" s="213" t="str">
        <f t="shared" si="15"/>
        <v>M</v>
      </c>
      <c r="J12" s="213" t="str">
        <f t="shared" si="15"/>
        <v>M</v>
      </c>
      <c r="K12" s="213" t="str">
        <f t="shared" si="15"/>
        <v>M</v>
      </c>
      <c r="L12" s="213" t="str">
        <f t="shared" si="15"/>
        <v>M</v>
      </c>
      <c r="M12" s="213" t="str">
        <f t="shared" si="15"/>
        <v>M</v>
      </c>
      <c r="N12" s="213" t="str">
        <f t="shared" si="15"/>
        <v>M</v>
      </c>
      <c r="O12" s="213" t="str">
        <f t="shared" si="15"/>
        <v>M</v>
      </c>
      <c r="P12" s="213" t="str">
        <f t="shared" si="15"/>
        <v>M</v>
      </c>
      <c r="Q12" s="213" t="str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M</v>
      </c>
      <c r="R12" s="213" t="str">
        <f t="shared" si="16"/>
        <v>M</v>
      </c>
      <c r="S12" s="213" t="str">
        <f t="shared" si="16"/>
        <v>M</v>
      </c>
      <c r="T12" s="213" t="str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M</v>
      </c>
      <c r="U12" s="213" t="str">
        <f t="shared" si="17"/>
        <v>M</v>
      </c>
      <c r="V12" s="213" t="str">
        <f t="shared" si="17"/>
        <v>M</v>
      </c>
      <c r="W12" s="213" t="str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M</v>
      </c>
      <c r="X12" s="213" t="str">
        <f t="shared" si="18"/>
        <v>M</v>
      </c>
      <c r="Y12" s="99"/>
      <c r="Z12" s="64"/>
      <c r="BB12" s="509" t="str">
        <f>CountryCode &amp; ".T3.FA.S1312.MNAC." &amp; RefVintage</f>
        <v>HU.T3.FA.S1312.MNAC.W.2020</v>
      </c>
    </row>
    <row r="13" spans="1:54" s="18" customFormat="1" ht="16.5" customHeight="1">
      <c r="A13" s="290" t="s">
        <v>346</v>
      </c>
      <c r="B13" s="414" t="s">
        <v>945</v>
      </c>
      <c r="C13" s="354" t="s">
        <v>61</v>
      </c>
      <c r="D13" s="100" t="s">
        <v>1019</v>
      </c>
      <c r="E13" s="100" t="s">
        <v>1019</v>
      </c>
      <c r="F13" s="100" t="s">
        <v>1019</v>
      </c>
      <c r="G13" s="100" t="s">
        <v>1019</v>
      </c>
      <c r="H13" s="100" t="s">
        <v>1019</v>
      </c>
      <c r="I13" s="100" t="s">
        <v>1019</v>
      </c>
      <c r="J13" s="100" t="s">
        <v>1019</v>
      </c>
      <c r="K13" s="100" t="s">
        <v>1019</v>
      </c>
      <c r="L13" s="100" t="s">
        <v>1019</v>
      </c>
      <c r="M13" s="100" t="s">
        <v>1019</v>
      </c>
      <c r="N13" s="100" t="s">
        <v>1019</v>
      </c>
      <c r="O13" s="100" t="s">
        <v>1019</v>
      </c>
      <c r="P13" s="100" t="s">
        <v>1019</v>
      </c>
      <c r="Q13" s="100" t="s">
        <v>1019</v>
      </c>
      <c r="R13" s="100" t="s">
        <v>1019</v>
      </c>
      <c r="S13" s="100" t="s">
        <v>1019</v>
      </c>
      <c r="T13" s="100" t="s">
        <v>1019</v>
      </c>
      <c r="U13" s="100" t="s">
        <v>1019</v>
      </c>
      <c r="V13" s="100" t="s">
        <v>1019</v>
      </c>
      <c r="W13" s="100" t="s">
        <v>1019</v>
      </c>
      <c r="X13" s="100" t="s">
        <v>1019</v>
      </c>
      <c r="Y13" s="99"/>
      <c r="Z13" s="64"/>
      <c r="BB13" s="509" t="str">
        <f>CountryCode &amp; ".T3.F2.S1312.MNAC." &amp; RefVintage</f>
        <v>HU.T3.F2.S1312.MNAC.W.2020</v>
      </c>
    </row>
    <row r="14" spans="1:54" s="18" customFormat="1" ht="16.5" customHeight="1">
      <c r="A14" s="290" t="s">
        <v>347</v>
      </c>
      <c r="B14" s="414" t="s">
        <v>946</v>
      </c>
      <c r="C14" s="354" t="s">
        <v>473</v>
      </c>
      <c r="D14" s="100" t="s">
        <v>1019</v>
      </c>
      <c r="E14" s="100" t="s">
        <v>1019</v>
      </c>
      <c r="F14" s="100" t="s">
        <v>1019</v>
      </c>
      <c r="G14" s="100" t="s">
        <v>1019</v>
      </c>
      <c r="H14" s="100" t="s">
        <v>1019</v>
      </c>
      <c r="I14" s="100" t="s">
        <v>1019</v>
      </c>
      <c r="J14" s="100" t="s">
        <v>1019</v>
      </c>
      <c r="K14" s="100" t="s">
        <v>1019</v>
      </c>
      <c r="L14" s="100" t="s">
        <v>1019</v>
      </c>
      <c r="M14" s="100" t="s">
        <v>1019</v>
      </c>
      <c r="N14" s="100" t="s">
        <v>1019</v>
      </c>
      <c r="O14" s="100" t="s">
        <v>1019</v>
      </c>
      <c r="P14" s="100" t="s">
        <v>1019</v>
      </c>
      <c r="Q14" s="100" t="s">
        <v>1019</v>
      </c>
      <c r="R14" s="100" t="s">
        <v>1019</v>
      </c>
      <c r="S14" s="100" t="s">
        <v>1019</v>
      </c>
      <c r="T14" s="100" t="s">
        <v>1019</v>
      </c>
      <c r="U14" s="100" t="s">
        <v>1019</v>
      </c>
      <c r="V14" s="100" t="s">
        <v>1019</v>
      </c>
      <c r="W14" s="100" t="s">
        <v>1019</v>
      </c>
      <c r="X14" s="100" t="s">
        <v>1019</v>
      </c>
      <c r="Y14" s="99"/>
      <c r="Z14" s="64"/>
      <c r="BB14" s="509" t="str">
        <f>CountryCode &amp; ".T3.F3.S1312.MNAC." &amp; RefVintage</f>
        <v>HU.T3.F3.S1312.MNAC.W.2020</v>
      </c>
    </row>
    <row r="15" spans="1:54" s="18" customFormat="1" ht="16.5" customHeight="1">
      <c r="A15" s="290" t="s">
        <v>348</v>
      </c>
      <c r="B15" s="414" t="s">
        <v>947</v>
      </c>
      <c r="C15" s="354" t="s">
        <v>36</v>
      </c>
      <c r="D15" s="100" t="s">
        <v>1019</v>
      </c>
      <c r="E15" s="100" t="s">
        <v>1019</v>
      </c>
      <c r="F15" s="100" t="s">
        <v>1019</v>
      </c>
      <c r="G15" s="100" t="s">
        <v>1019</v>
      </c>
      <c r="H15" s="100" t="s">
        <v>1019</v>
      </c>
      <c r="I15" s="100" t="s">
        <v>1019</v>
      </c>
      <c r="J15" s="100" t="s">
        <v>1019</v>
      </c>
      <c r="K15" s="100" t="s">
        <v>1019</v>
      </c>
      <c r="L15" s="100" t="s">
        <v>1019</v>
      </c>
      <c r="M15" s="100" t="s">
        <v>1019</v>
      </c>
      <c r="N15" s="100" t="s">
        <v>1019</v>
      </c>
      <c r="O15" s="100" t="s">
        <v>1019</v>
      </c>
      <c r="P15" s="100" t="s">
        <v>1019</v>
      </c>
      <c r="Q15" s="100" t="s">
        <v>1019</v>
      </c>
      <c r="R15" s="100" t="s">
        <v>1019</v>
      </c>
      <c r="S15" s="100" t="s">
        <v>1019</v>
      </c>
      <c r="T15" s="100" t="s">
        <v>1019</v>
      </c>
      <c r="U15" s="100" t="s">
        <v>1019</v>
      </c>
      <c r="V15" s="100" t="s">
        <v>1019</v>
      </c>
      <c r="W15" s="100" t="s">
        <v>1019</v>
      </c>
      <c r="X15" s="100" t="s">
        <v>1019</v>
      </c>
      <c r="Y15" s="99"/>
      <c r="Z15" s="64"/>
      <c r="BB15" s="509" t="str">
        <f>CountryCode &amp; ".T3.F4.S1312.MNAC." &amp; RefVintage</f>
        <v>HU.T3.F4.S1312.MNAC.W.2020</v>
      </c>
    </row>
    <row r="16" spans="1:54" s="18" customFormat="1" ht="16.5" customHeight="1">
      <c r="A16" s="290" t="s">
        <v>349</v>
      </c>
      <c r="B16" s="414" t="s">
        <v>948</v>
      </c>
      <c r="C16" s="355" t="s">
        <v>55</v>
      </c>
      <c r="D16" s="101" t="s">
        <v>1019</v>
      </c>
      <c r="E16" s="102" t="s">
        <v>1019</v>
      </c>
      <c r="F16" s="102" t="s">
        <v>1019</v>
      </c>
      <c r="G16" s="102" t="s">
        <v>1019</v>
      </c>
      <c r="H16" s="102" t="s">
        <v>1019</v>
      </c>
      <c r="I16" s="102" t="s">
        <v>1019</v>
      </c>
      <c r="J16" s="102" t="s">
        <v>1019</v>
      </c>
      <c r="K16" s="102" t="s">
        <v>1019</v>
      </c>
      <c r="L16" s="102" t="s">
        <v>1019</v>
      </c>
      <c r="M16" s="102" t="s">
        <v>1019</v>
      </c>
      <c r="N16" s="102" t="s">
        <v>1019</v>
      </c>
      <c r="O16" s="102" t="s">
        <v>1019</v>
      </c>
      <c r="P16" s="102" t="s">
        <v>1019</v>
      </c>
      <c r="Q16" s="102" t="s">
        <v>1019</v>
      </c>
      <c r="R16" s="102" t="s">
        <v>1019</v>
      </c>
      <c r="S16" s="102" t="s">
        <v>1019</v>
      </c>
      <c r="T16" s="102" t="s">
        <v>1019</v>
      </c>
      <c r="U16" s="102" t="s">
        <v>1019</v>
      </c>
      <c r="V16" s="102" t="s">
        <v>1019</v>
      </c>
      <c r="W16" s="102" t="s">
        <v>1019</v>
      </c>
      <c r="X16" s="102" t="s">
        <v>1019</v>
      </c>
      <c r="Y16" s="99"/>
      <c r="Z16" s="64"/>
      <c r="BB16" s="509" t="str">
        <f>CountryCode &amp; ".T3.F4ACQ.S1312.MNAC." &amp; RefVintage</f>
        <v>HU.T3.F4ACQ.S1312.MNAC.W.2020</v>
      </c>
    </row>
    <row r="17" spans="1:54" s="18" customFormat="1" ht="16.5" customHeight="1">
      <c r="A17" s="290" t="s">
        <v>350</v>
      </c>
      <c r="B17" s="414" t="s">
        <v>949</v>
      </c>
      <c r="C17" s="355" t="s">
        <v>56</v>
      </c>
      <c r="D17" s="103" t="s">
        <v>1019</v>
      </c>
      <c r="E17" s="104" t="s">
        <v>1019</v>
      </c>
      <c r="F17" s="104" t="s">
        <v>1019</v>
      </c>
      <c r="G17" s="104" t="s">
        <v>1019</v>
      </c>
      <c r="H17" s="104" t="s">
        <v>1019</v>
      </c>
      <c r="I17" s="104" t="s">
        <v>1019</v>
      </c>
      <c r="J17" s="104" t="s">
        <v>1019</v>
      </c>
      <c r="K17" s="104" t="s">
        <v>1019</v>
      </c>
      <c r="L17" s="104" t="s">
        <v>1019</v>
      </c>
      <c r="M17" s="104" t="s">
        <v>1019</v>
      </c>
      <c r="N17" s="104" t="s">
        <v>1019</v>
      </c>
      <c r="O17" s="104" t="s">
        <v>1019</v>
      </c>
      <c r="P17" s="104" t="s">
        <v>1019</v>
      </c>
      <c r="Q17" s="104" t="s">
        <v>1019</v>
      </c>
      <c r="R17" s="104" t="s">
        <v>1019</v>
      </c>
      <c r="S17" s="104" t="s">
        <v>1019</v>
      </c>
      <c r="T17" s="104" t="s">
        <v>1019</v>
      </c>
      <c r="U17" s="104" t="s">
        <v>1019</v>
      </c>
      <c r="V17" s="104" t="s">
        <v>1019</v>
      </c>
      <c r="W17" s="104" t="s">
        <v>1019</v>
      </c>
      <c r="X17" s="104" t="s">
        <v>1019</v>
      </c>
      <c r="Y17" s="99"/>
      <c r="Z17" s="64"/>
      <c r="BB17" s="509" t="str">
        <f>CountryCode &amp; ".T3.F4DIS.S1312.MNAC." &amp; RefVintage</f>
        <v>HU.T3.F4DIS.S1312.MNAC.W.2020</v>
      </c>
    </row>
    <row r="18" spans="1:54" s="18" customFormat="1" ht="16.5" customHeight="1">
      <c r="A18" s="290" t="s">
        <v>351</v>
      </c>
      <c r="B18" s="414" t="s">
        <v>950</v>
      </c>
      <c r="C18" s="356" t="s">
        <v>87</v>
      </c>
      <c r="D18" s="100" t="s">
        <v>1019</v>
      </c>
      <c r="E18" s="100" t="s">
        <v>1019</v>
      </c>
      <c r="F18" s="100" t="s">
        <v>1019</v>
      </c>
      <c r="G18" s="100" t="s">
        <v>1019</v>
      </c>
      <c r="H18" s="100" t="s">
        <v>1019</v>
      </c>
      <c r="I18" s="100" t="s">
        <v>1019</v>
      </c>
      <c r="J18" s="100" t="s">
        <v>1019</v>
      </c>
      <c r="K18" s="100" t="s">
        <v>1019</v>
      </c>
      <c r="L18" s="100" t="s">
        <v>1019</v>
      </c>
      <c r="M18" s="100" t="s">
        <v>1019</v>
      </c>
      <c r="N18" s="100" t="s">
        <v>1019</v>
      </c>
      <c r="O18" s="100" t="s">
        <v>1019</v>
      </c>
      <c r="P18" s="100" t="s">
        <v>1019</v>
      </c>
      <c r="Q18" s="100" t="s">
        <v>1019</v>
      </c>
      <c r="R18" s="100" t="s">
        <v>1019</v>
      </c>
      <c r="S18" s="100" t="s">
        <v>1019</v>
      </c>
      <c r="T18" s="100" t="s">
        <v>1019</v>
      </c>
      <c r="U18" s="100" t="s">
        <v>1019</v>
      </c>
      <c r="V18" s="100" t="s">
        <v>1019</v>
      </c>
      <c r="W18" s="100" t="s">
        <v>1019</v>
      </c>
      <c r="X18" s="100" t="s">
        <v>1019</v>
      </c>
      <c r="Y18" s="99"/>
      <c r="Z18" s="64"/>
      <c r="BB18" s="509" t="str">
        <f>CountryCode &amp; ".T3.F41.S1312.MNAC." &amp; RefVintage</f>
        <v>HU.T3.F41.S1312.MNAC.W.2020</v>
      </c>
    </row>
    <row r="19" spans="1:54" s="18" customFormat="1" ht="16.5" customHeight="1">
      <c r="A19" s="290" t="s">
        <v>352</v>
      </c>
      <c r="B19" s="414" t="s">
        <v>951</v>
      </c>
      <c r="C19" s="356" t="s">
        <v>82</v>
      </c>
      <c r="D19" s="100" t="s">
        <v>1019</v>
      </c>
      <c r="E19" s="100" t="s">
        <v>1019</v>
      </c>
      <c r="F19" s="100" t="s">
        <v>1019</v>
      </c>
      <c r="G19" s="100" t="s">
        <v>1019</v>
      </c>
      <c r="H19" s="100" t="s">
        <v>1019</v>
      </c>
      <c r="I19" s="100" t="s">
        <v>1019</v>
      </c>
      <c r="J19" s="100" t="s">
        <v>1019</v>
      </c>
      <c r="K19" s="100" t="s">
        <v>1019</v>
      </c>
      <c r="L19" s="100" t="s">
        <v>1019</v>
      </c>
      <c r="M19" s="100" t="s">
        <v>1019</v>
      </c>
      <c r="N19" s="100" t="s">
        <v>1019</v>
      </c>
      <c r="O19" s="100" t="s">
        <v>1019</v>
      </c>
      <c r="P19" s="100" t="s">
        <v>1019</v>
      </c>
      <c r="Q19" s="100" t="s">
        <v>1019</v>
      </c>
      <c r="R19" s="100" t="s">
        <v>1019</v>
      </c>
      <c r="S19" s="100" t="s">
        <v>1019</v>
      </c>
      <c r="T19" s="100" t="s">
        <v>1019</v>
      </c>
      <c r="U19" s="100" t="s">
        <v>1019</v>
      </c>
      <c r="V19" s="100" t="s">
        <v>1019</v>
      </c>
      <c r="W19" s="100" t="s">
        <v>1019</v>
      </c>
      <c r="X19" s="100" t="s">
        <v>1019</v>
      </c>
      <c r="Y19" s="99"/>
      <c r="Z19" s="64"/>
      <c r="BB19" s="509" t="str">
        <f>CountryCode &amp; ".T3.F42.S1312.MNAC." &amp; RefVintage</f>
        <v>HU.T3.F42.S1312.MNAC.W.2020</v>
      </c>
    </row>
    <row r="20" spans="1:54" s="18" customFormat="1" ht="16.5" customHeight="1">
      <c r="A20" s="290" t="s">
        <v>353</v>
      </c>
      <c r="B20" s="414" t="s">
        <v>952</v>
      </c>
      <c r="C20" s="357" t="s">
        <v>78</v>
      </c>
      <c r="D20" s="105" t="s">
        <v>1019</v>
      </c>
      <c r="E20" s="106" t="s">
        <v>1019</v>
      </c>
      <c r="F20" s="106" t="s">
        <v>1019</v>
      </c>
      <c r="G20" s="106" t="s">
        <v>1019</v>
      </c>
      <c r="H20" s="106" t="s">
        <v>1019</v>
      </c>
      <c r="I20" s="106" t="s">
        <v>1019</v>
      </c>
      <c r="J20" s="106" t="s">
        <v>1019</v>
      </c>
      <c r="K20" s="106" t="s">
        <v>1019</v>
      </c>
      <c r="L20" s="106" t="s">
        <v>1019</v>
      </c>
      <c r="M20" s="106" t="s">
        <v>1019</v>
      </c>
      <c r="N20" s="106" t="s">
        <v>1019</v>
      </c>
      <c r="O20" s="106" t="s">
        <v>1019</v>
      </c>
      <c r="P20" s="106" t="s">
        <v>1019</v>
      </c>
      <c r="Q20" s="106" t="s">
        <v>1019</v>
      </c>
      <c r="R20" s="106" t="s">
        <v>1019</v>
      </c>
      <c r="S20" s="106" t="s">
        <v>1019</v>
      </c>
      <c r="T20" s="106" t="s">
        <v>1019</v>
      </c>
      <c r="U20" s="106" t="s">
        <v>1019</v>
      </c>
      <c r="V20" s="106" t="s">
        <v>1019</v>
      </c>
      <c r="W20" s="106" t="s">
        <v>1019</v>
      </c>
      <c r="X20" s="106" t="s">
        <v>1019</v>
      </c>
      <c r="Y20" s="99"/>
      <c r="Z20" s="64"/>
      <c r="BB20" s="509" t="str">
        <f>CountryCode &amp; ".T3.F42ACQ.S1312.MNAC." &amp; RefVintage</f>
        <v>HU.T3.F42ACQ.S1312.MNAC.W.2020</v>
      </c>
    </row>
    <row r="21" spans="1:54" s="18" customFormat="1" ht="16.5" customHeight="1">
      <c r="A21" s="290" t="s">
        <v>354</v>
      </c>
      <c r="B21" s="414" t="s">
        <v>953</v>
      </c>
      <c r="C21" s="357" t="s">
        <v>79</v>
      </c>
      <c r="D21" s="107" t="s">
        <v>1019</v>
      </c>
      <c r="E21" s="108" t="s">
        <v>1019</v>
      </c>
      <c r="F21" s="108" t="s">
        <v>1019</v>
      </c>
      <c r="G21" s="108" t="s">
        <v>1019</v>
      </c>
      <c r="H21" s="108" t="s">
        <v>1019</v>
      </c>
      <c r="I21" s="108" t="s">
        <v>1019</v>
      </c>
      <c r="J21" s="108" t="s">
        <v>1019</v>
      </c>
      <c r="K21" s="108" t="s">
        <v>1019</v>
      </c>
      <c r="L21" s="108" t="s">
        <v>1019</v>
      </c>
      <c r="M21" s="108" t="s">
        <v>1019</v>
      </c>
      <c r="N21" s="108" t="s">
        <v>1019</v>
      </c>
      <c r="O21" s="108" t="s">
        <v>1019</v>
      </c>
      <c r="P21" s="108" t="s">
        <v>1019</v>
      </c>
      <c r="Q21" s="108" t="s">
        <v>1019</v>
      </c>
      <c r="R21" s="108" t="s">
        <v>1019</v>
      </c>
      <c r="S21" s="108" t="s">
        <v>1019</v>
      </c>
      <c r="T21" s="108" t="s">
        <v>1019</v>
      </c>
      <c r="U21" s="108" t="s">
        <v>1019</v>
      </c>
      <c r="V21" s="108" t="s">
        <v>1019</v>
      </c>
      <c r="W21" s="108" t="s">
        <v>1019</v>
      </c>
      <c r="X21" s="108" t="s">
        <v>1019</v>
      </c>
      <c r="Y21" s="99"/>
      <c r="Z21" s="64"/>
      <c r="BB21" s="509" t="str">
        <f>CountryCode &amp; ".T3.F42DIS.S1312.MNAC." &amp; RefVintage</f>
        <v>HU.T3.F42DIS.S1312.MNAC.W.2020</v>
      </c>
    </row>
    <row r="22" spans="1:54" s="18" customFormat="1" ht="16.5" customHeight="1">
      <c r="A22" s="290" t="s">
        <v>355</v>
      </c>
      <c r="B22" s="414" t="s">
        <v>954</v>
      </c>
      <c r="C22" s="354" t="s">
        <v>474</v>
      </c>
      <c r="D22" s="100" t="s">
        <v>1019</v>
      </c>
      <c r="E22" s="100" t="s">
        <v>1019</v>
      </c>
      <c r="F22" s="100" t="s">
        <v>1019</v>
      </c>
      <c r="G22" s="100" t="s">
        <v>1019</v>
      </c>
      <c r="H22" s="100" t="s">
        <v>1019</v>
      </c>
      <c r="I22" s="100" t="s">
        <v>1019</v>
      </c>
      <c r="J22" s="100" t="s">
        <v>1019</v>
      </c>
      <c r="K22" s="100" t="s">
        <v>1019</v>
      </c>
      <c r="L22" s="100" t="s">
        <v>1019</v>
      </c>
      <c r="M22" s="100" t="s">
        <v>1019</v>
      </c>
      <c r="N22" s="100" t="s">
        <v>1019</v>
      </c>
      <c r="O22" s="100" t="s">
        <v>1019</v>
      </c>
      <c r="P22" s="100" t="s">
        <v>1019</v>
      </c>
      <c r="Q22" s="100" t="s">
        <v>1019</v>
      </c>
      <c r="R22" s="100" t="s">
        <v>1019</v>
      </c>
      <c r="S22" s="100" t="s">
        <v>1019</v>
      </c>
      <c r="T22" s="100" t="s">
        <v>1019</v>
      </c>
      <c r="U22" s="100" t="s">
        <v>1019</v>
      </c>
      <c r="V22" s="100" t="s">
        <v>1019</v>
      </c>
      <c r="W22" s="100" t="s">
        <v>1019</v>
      </c>
      <c r="X22" s="100" t="s">
        <v>1019</v>
      </c>
      <c r="Y22" s="99"/>
      <c r="Z22" s="64"/>
      <c r="BB22" s="509" t="str">
        <f>CountryCode &amp; ".T3.F5.S1312.MNAC." &amp; RefVintage</f>
        <v>HU.T3.F5.S1312.MNAC.W.2020</v>
      </c>
    </row>
    <row r="23" spans="1:54" s="18" customFormat="1" ht="16.5" customHeight="1">
      <c r="A23" s="290" t="s">
        <v>356</v>
      </c>
      <c r="B23" s="414" t="s">
        <v>955</v>
      </c>
      <c r="C23" s="356" t="s">
        <v>94</v>
      </c>
      <c r="D23" s="100" t="s">
        <v>1019</v>
      </c>
      <c r="E23" s="100" t="s">
        <v>1019</v>
      </c>
      <c r="F23" s="100" t="s">
        <v>1019</v>
      </c>
      <c r="G23" s="100" t="s">
        <v>1019</v>
      </c>
      <c r="H23" s="100" t="s">
        <v>1019</v>
      </c>
      <c r="I23" s="100" t="s">
        <v>1019</v>
      </c>
      <c r="J23" s="100" t="s">
        <v>1019</v>
      </c>
      <c r="K23" s="100" t="s">
        <v>1019</v>
      </c>
      <c r="L23" s="100" t="s">
        <v>1019</v>
      </c>
      <c r="M23" s="100" t="s">
        <v>1019</v>
      </c>
      <c r="N23" s="100" t="s">
        <v>1019</v>
      </c>
      <c r="O23" s="100" t="s">
        <v>1019</v>
      </c>
      <c r="P23" s="100" t="s">
        <v>1019</v>
      </c>
      <c r="Q23" s="100" t="s">
        <v>1019</v>
      </c>
      <c r="R23" s="100" t="s">
        <v>1019</v>
      </c>
      <c r="S23" s="100" t="s">
        <v>1019</v>
      </c>
      <c r="T23" s="100" t="s">
        <v>1019</v>
      </c>
      <c r="U23" s="100" t="s">
        <v>1019</v>
      </c>
      <c r="V23" s="100" t="s">
        <v>1019</v>
      </c>
      <c r="W23" s="100" t="s">
        <v>1019</v>
      </c>
      <c r="X23" s="100" t="s">
        <v>1019</v>
      </c>
      <c r="Y23" s="99"/>
      <c r="Z23" s="64"/>
      <c r="BB23" s="509" t="str">
        <f>CountryCode &amp; ".T3.F5PN.S1312.MNAC." &amp; RefVintage</f>
        <v>HU.T3.F5PN.S1312.MNAC.W.2020</v>
      </c>
    </row>
    <row r="24" spans="1:54" s="18" customFormat="1" ht="16.5" customHeight="1">
      <c r="A24" s="290" t="s">
        <v>357</v>
      </c>
      <c r="B24" s="414" t="s">
        <v>956</v>
      </c>
      <c r="C24" s="356" t="s">
        <v>475</v>
      </c>
      <c r="D24" s="100" t="s">
        <v>1019</v>
      </c>
      <c r="E24" s="100" t="s">
        <v>1019</v>
      </c>
      <c r="F24" s="100" t="s">
        <v>1019</v>
      </c>
      <c r="G24" s="100" t="s">
        <v>1019</v>
      </c>
      <c r="H24" s="100" t="s">
        <v>1019</v>
      </c>
      <c r="I24" s="100" t="s">
        <v>1019</v>
      </c>
      <c r="J24" s="100" t="s">
        <v>1019</v>
      </c>
      <c r="K24" s="100" t="s">
        <v>1019</v>
      </c>
      <c r="L24" s="100" t="s">
        <v>1019</v>
      </c>
      <c r="M24" s="100" t="s">
        <v>1019</v>
      </c>
      <c r="N24" s="100" t="s">
        <v>1019</v>
      </c>
      <c r="O24" s="100" t="s">
        <v>1019</v>
      </c>
      <c r="P24" s="100" t="s">
        <v>1019</v>
      </c>
      <c r="Q24" s="100" t="s">
        <v>1019</v>
      </c>
      <c r="R24" s="100" t="s">
        <v>1019</v>
      </c>
      <c r="S24" s="100" t="s">
        <v>1019</v>
      </c>
      <c r="T24" s="100" t="s">
        <v>1019</v>
      </c>
      <c r="U24" s="100" t="s">
        <v>1019</v>
      </c>
      <c r="V24" s="100" t="s">
        <v>1019</v>
      </c>
      <c r="W24" s="100" t="s">
        <v>1019</v>
      </c>
      <c r="X24" s="100" t="s">
        <v>1019</v>
      </c>
      <c r="Y24" s="99"/>
      <c r="Z24" s="64"/>
      <c r="BB24" s="509" t="str">
        <f>CountryCode &amp; ".T3.F5OP.S1312.MNAC." &amp; RefVintage</f>
        <v>HU.T3.F5OP.S1312.MNAC.W.2020</v>
      </c>
    </row>
    <row r="25" spans="1:54" s="18" customFormat="1" ht="16.5" customHeight="1">
      <c r="A25" s="290" t="s">
        <v>358</v>
      </c>
      <c r="B25" s="414" t="s">
        <v>957</v>
      </c>
      <c r="C25" s="357" t="s">
        <v>83</v>
      </c>
      <c r="D25" s="109" t="s">
        <v>1019</v>
      </c>
      <c r="E25" s="110" t="s">
        <v>1019</v>
      </c>
      <c r="F25" s="110" t="s">
        <v>1019</v>
      </c>
      <c r="G25" s="110" t="s">
        <v>1019</v>
      </c>
      <c r="H25" s="110" t="s">
        <v>1019</v>
      </c>
      <c r="I25" s="110" t="s">
        <v>1019</v>
      </c>
      <c r="J25" s="110" t="s">
        <v>1019</v>
      </c>
      <c r="K25" s="110" t="s">
        <v>1019</v>
      </c>
      <c r="L25" s="110" t="s">
        <v>1019</v>
      </c>
      <c r="M25" s="110" t="s">
        <v>1019</v>
      </c>
      <c r="N25" s="110" t="s">
        <v>1019</v>
      </c>
      <c r="O25" s="110" t="s">
        <v>1019</v>
      </c>
      <c r="P25" s="110" t="s">
        <v>1019</v>
      </c>
      <c r="Q25" s="110" t="s">
        <v>1019</v>
      </c>
      <c r="R25" s="110" t="s">
        <v>1019</v>
      </c>
      <c r="S25" s="110" t="s">
        <v>1019</v>
      </c>
      <c r="T25" s="110" t="s">
        <v>1019</v>
      </c>
      <c r="U25" s="110" t="s">
        <v>1019</v>
      </c>
      <c r="V25" s="110" t="s">
        <v>1019</v>
      </c>
      <c r="W25" s="110" t="s">
        <v>1019</v>
      </c>
      <c r="X25" s="110" t="s">
        <v>1019</v>
      </c>
      <c r="Y25" s="99"/>
      <c r="Z25" s="64"/>
      <c r="BB25" s="509" t="str">
        <f>CountryCode &amp; ".T3.F5OPACQ.S1312.MNAC." &amp; RefVintage</f>
        <v>HU.T3.F5OPACQ.S1312.MNAC.W.2020</v>
      </c>
    </row>
    <row r="26" spans="1:54" s="18" customFormat="1" ht="16.5" customHeight="1" thickBot="1">
      <c r="A26" s="290" t="s">
        <v>359</v>
      </c>
      <c r="B26" s="414" t="s">
        <v>958</v>
      </c>
      <c r="C26" s="357" t="s">
        <v>84</v>
      </c>
      <c r="D26" s="109" t="s">
        <v>1019</v>
      </c>
      <c r="E26" s="110" t="s">
        <v>1019</v>
      </c>
      <c r="F26" s="110" t="s">
        <v>1019</v>
      </c>
      <c r="G26" s="110" t="s">
        <v>1019</v>
      </c>
      <c r="H26" s="110" t="s">
        <v>1019</v>
      </c>
      <c r="I26" s="110" t="s">
        <v>1019</v>
      </c>
      <c r="J26" s="110" t="s">
        <v>1019</v>
      </c>
      <c r="K26" s="110" t="s">
        <v>1019</v>
      </c>
      <c r="L26" s="110" t="s">
        <v>1019</v>
      </c>
      <c r="M26" s="110" t="s">
        <v>1019</v>
      </c>
      <c r="N26" s="110" t="s">
        <v>1019</v>
      </c>
      <c r="O26" s="110" t="s">
        <v>1019</v>
      </c>
      <c r="P26" s="110" t="s">
        <v>1019</v>
      </c>
      <c r="Q26" s="110" t="s">
        <v>1019</v>
      </c>
      <c r="R26" s="110" t="s">
        <v>1019</v>
      </c>
      <c r="S26" s="110" t="s">
        <v>1019</v>
      </c>
      <c r="T26" s="110" t="s">
        <v>1019</v>
      </c>
      <c r="U26" s="110" t="s">
        <v>1019</v>
      </c>
      <c r="V26" s="110" t="s">
        <v>1019</v>
      </c>
      <c r="W26" s="110" t="s">
        <v>1019</v>
      </c>
      <c r="X26" s="110" t="s">
        <v>1019</v>
      </c>
      <c r="Y26" s="99"/>
      <c r="Z26" s="64"/>
      <c r="BB26" s="509" t="str">
        <f>CountryCode &amp; ".T3.F5OPDIS.S1312.MNAC." &amp; RefVintage</f>
        <v>HU.T3.F5OPDIS.S1312.MNAC.W.2020</v>
      </c>
    </row>
    <row r="27" spans="1:54" s="18" customFormat="1" ht="16.5" customHeight="1">
      <c r="A27" s="347" t="s">
        <v>498</v>
      </c>
      <c r="B27" s="414" t="s">
        <v>959</v>
      </c>
      <c r="C27" s="354" t="s">
        <v>460</v>
      </c>
      <c r="D27" s="136" t="s">
        <v>1019</v>
      </c>
      <c r="E27" s="136" t="s">
        <v>1019</v>
      </c>
      <c r="F27" s="136" t="s">
        <v>1019</v>
      </c>
      <c r="G27" s="136" t="s">
        <v>1019</v>
      </c>
      <c r="H27" s="136" t="s">
        <v>1019</v>
      </c>
      <c r="I27" s="136" t="s">
        <v>1019</v>
      </c>
      <c r="J27" s="136" t="s">
        <v>1019</v>
      </c>
      <c r="K27" s="136" t="s">
        <v>1019</v>
      </c>
      <c r="L27" s="136" t="s">
        <v>1019</v>
      </c>
      <c r="M27" s="136" t="s">
        <v>1019</v>
      </c>
      <c r="N27" s="136" t="s">
        <v>1019</v>
      </c>
      <c r="O27" s="136" t="s">
        <v>1019</v>
      </c>
      <c r="P27" s="136" t="s">
        <v>1019</v>
      </c>
      <c r="Q27" s="136" t="s">
        <v>1019</v>
      </c>
      <c r="R27" s="136" t="s">
        <v>1019</v>
      </c>
      <c r="S27" s="136" t="s">
        <v>1019</v>
      </c>
      <c r="T27" s="136" t="s">
        <v>1019</v>
      </c>
      <c r="U27" s="136" t="s">
        <v>1019</v>
      </c>
      <c r="V27" s="136" t="s">
        <v>1019</v>
      </c>
      <c r="W27" s="136" t="s">
        <v>1019</v>
      </c>
      <c r="X27" s="136" t="s">
        <v>1019</v>
      </c>
      <c r="Y27" s="99"/>
      <c r="Z27" s="64"/>
      <c r="BB27" s="509" t="str">
        <f>CountryCode &amp; ".T3.F71.S1312.MNAC." &amp; RefVintage</f>
        <v>HU.T3.F71.S1312.MNAC.W.2020</v>
      </c>
    </row>
    <row r="28" spans="1:54" s="18" customFormat="1" ht="16.5" customHeight="1" thickBot="1">
      <c r="A28" s="348" t="s">
        <v>499</v>
      </c>
      <c r="B28" s="414" t="s">
        <v>960</v>
      </c>
      <c r="C28" s="354" t="s">
        <v>462</v>
      </c>
      <c r="D28" s="136" t="s">
        <v>1019</v>
      </c>
      <c r="E28" s="136" t="s">
        <v>1019</v>
      </c>
      <c r="F28" s="136" t="s">
        <v>1019</v>
      </c>
      <c r="G28" s="136" t="s">
        <v>1019</v>
      </c>
      <c r="H28" s="136" t="s">
        <v>1019</v>
      </c>
      <c r="I28" s="136" t="s">
        <v>1019</v>
      </c>
      <c r="J28" s="136" t="s">
        <v>1019</v>
      </c>
      <c r="K28" s="136" t="s">
        <v>1019</v>
      </c>
      <c r="L28" s="136" t="s">
        <v>1019</v>
      </c>
      <c r="M28" s="136" t="s">
        <v>1019</v>
      </c>
      <c r="N28" s="136" t="s">
        <v>1019</v>
      </c>
      <c r="O28" s="136" t="s">
        <v>1019</v>
      </c>
      <c r="P28" s="136" t="s">
        <v>1019</v>
      </c>
      <c r="Q28" s="136" t="s">
        <v>1019</v>
      </c>
      <c r="R28" s="136" t="s">
        <v>1019</v>
      </c>
      <c r="S28" s="136" t="s">
        <v>1019</v>
      </c>
      <c r="T28" s="136" t="s">
        <v>1019</v>
      </c>
      <c r="U28" s="136" t="s">
        <v>1019</v>
      </c>
      <c r="V28" s="136" t="s">
        <v>1019</v>
      </c>
      <c r="W28" s="136" t="s">
        <v>1019</v>
      </c>
      <c r="X28" s="136" t="s">
        <v>1019</v>
      </c>
      <c r="Y28" s="99"/>
      <c r="Z28" s="64"/>
      <c r="BB28" s="509" t="str">
        <f>CountryCode &amp; ".T3.F8.S1312.MNAC." &amp; RefVintage</f>
        <v>HU.T3.F8.S1312.MNAC.W.2020</v>
      </c>
    </row>
    <row r="29" spans="1:54" s="18" customFormat="1" ht="16.5" customHeight="1">
      <c r="A29" s="290" t="s">
        <v>360</v>
      </c>
      <c r="B29" s="414" t="s">
        <v>961</v>
      </c>
      <c r="C29" s="354" t="s">
        <v>465</v>
      </c>
      <c r="D29" s="136" t="s">
        <v>1019</v>
      </c>
      <c r="E29" s="136" t="s">
        <v>1019</v>
      </c>
      <c r="F29" s="136" t="s">
        <v>1019</v>
      </c>
      <c r="G29" s="136" t="s">
        <v>1019</v>
      </c>
      <c r="H29" s="136" t="s">
        <v>1019</v>
      </c>
      <c r="I29" s="136" t="s">
        <v>1019</v>
      </c>
      <c r="J29" s="136" t="s">
        <v>1019</v>
      </c>
      <c r="K29" s="136" t="s">
        <v>1019</v>
      </c>
      <c r="L29" s="136" t="s">
        <v>1019</v>
      </c>
      <c r="M29" s="136" t="s">
        <v>1019</v>
      </c>
      <c r="N29" s="136" t="s">
        <v>1019</v>
      </c>
      <c r="O29" s="136" t="s">
        <v>1019</v>
      </c>
      <c r="P29" s="136" t="s">
        <v>1019</v>
      </c>
      <c r="Q29" s="136" t="s">
        <v>1019</v>
      </c>
      <c r="R29" s="136" t="s">
        <v>1019</v>
      </c>
      <c r="S29" s="136" t="s">
        <v>1019</v>
      </c>
      <c r="T29" s="136" t="s">
        <v>1019</v>
      </c>
      <c r="U29" s="136" t="s">
        <v>1019</v>
      </c>
      <c r="V29" s="136" t="s">
        <v>1019</v>
      </c>
      <c r="W29" s="136" t="s">
        <v>1019</v>
      </c>
      <c r="X29" s="136" t="s">
        <v>1019</v>
      </c>
      <c r="Y29" s="99"/>
      <c r="Z29" s="64"/>
      <c r="BB29" s="509" t="str">
        <f>CountryCode &amp; ".T3.OFA.S1312.MNAC." &amp; RefVintage</f>
        <v>HU.T3.OFA.S1312.MNAC.W.2020</v>
      </c>
    </row>
    <row r="30" spans="1:54" s="18" customFormat="1" ht="16.5" customHeight="1">
      <c r="A30" s="290"/>
      <c r="B30" s="150"/>
      <c r="C30" s="358"/>
      <c r="D30" s="111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4"/>
      <c r="X30" s="114"/>
      <c r="Y30" s="99"/>
      <c r="Z30" s="64"/>
      <c r="BB30" s="509"/>
    </row>
    <row r="31" spans="1:54" s="18" customFormat="1" ht="16.5" customHeight="1">
      <c r="A31" s="290" t="s">
        <v>361</v>
      </c>
      <c r="B31" s="414" t="s">
        <v>962</v>
      </c>
      <c r="C31" s="359" t="s">
        <v>183</v>
      </c>
      <c r="D31" s="362" t="str">
        <f t="shared" ref="D31:P31" si="19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362" t="str">
        <f t="shared" si="19"/>
        <v>M</v>
      </c>
      <c r="F31" s="362" t="str">
        <f t="shared" si="19"/>
        <v>M</v>
      </c>
      <c r="G31" s="362" t="str">
        <f t="shared" si="19"/>
        <v>M</v>
      </c>
      <c r="H31" s="362" t="str">
        <f t="shared" si="19"/>
        <v>M</v>
      </c>
      <c r="I31" s="362" t="str">
        <f t="shared" si="19"/>
        <v>M</v>
      </c>
      <c r="J31" s="362" t="str">
        <f t="shared" si="19"/>
        <v>M</v>
      </c>
      <c r="K31" s="362" t="str">
        <f t="shared" si="19"/>
        <v>M</v>
      </c>
      <c r="L31" s="362" t="str">
        <f t="shared" si="19"/>
        <v>M</v>
      </c>
      <c r="M31" s="362" t="str">
        <f t="shared" si="19"/>
        <v>M</v>
      </c>
      <c r="N31" s="362" t="str">
        <f t="shared" si="19"/>
        <v>M</v>
      </c>
      <c r="O31" s="362" t="str">
        <f t="shared" si="19"/>
        <v>M</v>
      </c>
      <c r="P31" s="362" t="str">
        <f t="shared" si="19"/>
        <v>M</v>
      </c>
      <c r="Q31" s="362" t="str">
        <f t="shared" ref="Q31:S31" si="20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M</v>
      </c>
      <c r="R31" s="362" t="str">
        <f t="shared" si="20"/>
        <v>M</v>
      </c>
      <c r="S31" s="362" t="str">
        <f t="shared" si="20"/>
        <v>M</v>
      </c>
      <c r="T31" s="362" t="str">
        <f t="shared" ref="T31:V31" si="21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M</v>
      </c>
      <c r="U31" s="362" t="str">
        <f t="shared" si="21"/>
        <v>M</v>
      </c>
      <c r="V31" s="362" t="str">
        <f t="shared" si="21"/>
        <v>M</v>
      </c>
      <c r="W31" s="362" t="str">
        <f t="shared" ref="W31:X31" si="22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M</v>
      </c>
      <c r="X31" s="362" t="str">
        <f t="shared" si="22"/>
        <v>M</v>
      </c>
      <c r="Y31" s="99"/>
      <c r="Z31" s="64"/>
      <c r="BB31" s="509" t="str">
        <f>CountryCode &amp; ".T3.ADJ.S1312.MNAC." &amp; RefVintage</f>
        <v>HU.T3.ADJ.S1312.MNAC.W.2020</v>
      </c>
    </row>
    <row r="32" spans="1:54" s="18" customFormat="1" ht="16.5" customHeight="1" thickBot="1">
      <c r="A32" s="290" t="s">
        <v>362</v>
      </c>
      <c r="B32" s="414" t="s">
        <v>963</v>
      </c>
      <c r="C32" s="354" t="s">
        <v>476</v>
      </c>
      <c r="D32" s="136" t="s">
        <v>1019</v>
      </c>
      <c r="E32" s="136" t="s">
        <v>1019</v>
      </c>
      <c r="F32" s="136" t="s">
        <v>1019</v>
      </c>
      <c r="G32" s="136" t="s">
        <v>1019</v>
      </c>
      <c r="H32" s="136" t="s">
        <v>1019</v>
      </c>
      <c r="I32" s="136" t="s">
        <v>1019</v>
      </c>
      <c r="J32" s="136" t="s">
        <v>1019</v>
      </c>
      <c r="K32" s="136" t="s">
        <v>1019</v>
      </c>
      <c r="L32" s="136" t="s">
        <v>1019</v>
      </c>
      <c r="M32" s="136" t="s">
        <v>1019</v>
      </c>
      <c r="N32" s="136" t="s">
        <v>1019</v>
      </c>
      <c r="O32" s="136" t="s">
        <v>1019</v>
      </c>
      <c r="P32" s="136" t="s">
        <v>1019</v>
      </c>
      <c r="Q32" s="136" t="s">
        <v>1019</v>
      </c>
      <c r="R32" s="136" t="s">
        <v>1019</v>
      </c>
      <c r="S32" s="136" t="s">
        <v>1019</v>
      </c>
      <c r="T32" s="136" t="s">
        <v>1019</v>
      </c>
      <c r="U32" s="136" t="s">
        <v>1019</v>
      </c>
      <c r="V32" s="136" t="s">
        <v>1019</v>
      </c>
      <c r="W32" s="136" t="s">
        <v>1019</v>
      </c>
      <c r="X32" s="136" t="s">
        <v>1019</v>
      </c>
      <c r="Y32" s="99"/>
      <c r="Z32" s="64"/>
      <c r="BB32" s="509" t="str">
        <f>CountryCode &amp; ".T3.LIA.S1312.MNAC." &amp; RefVintage</f>
        <v>HU.T3.LIA.S1312.MNAC.W.2020</v>
      </c>
    </row>
    <row r="33" spans="1:54" s="18" customFormat="1" ht="16.5" customHeight="1" thickBot="1">
      <c r="A33" s="272" t="s">
        <v>503</v>
      </c>
      <c r="B33" s="414" t="s">
        <v>964</v>
      </c>
      <c r="C33" s="354" t="s">
        <v>463</v>
      </c>
      <c r="D33" s="136" t="s">
        <v>1019</v>
      </c>
      <c r="E33" s="136" t="s">
        <v>1019</v>
      </c>
      <c r="F33" s="136" t="s">
        <v>1019</v>
      </c>
      <c r="G33" s="136" t="s">
        <v>1019</v>
      </c>
      <c r="H33" s="136" t="s">
        <v>1019</v>
      </c>
      <c r="I33" s="136" t="s">
        <v>1019</v>
      </c>
      <c r="J33" s="136" t="s">
        <v>1019</v>
      </c>
      <c r="K33" s="136" t="s">
        <v>1019</v>
      </c>
      <c r="L33" s="136" t="s">
        <v>1019</v>
      </c>
      <c r="M33" s="136" t="s">
        <v>1019</v>
      </c>
      <c r="N33" s="136" t="s">
        <v>1019</v>
      </c>
      <c r="O33" s="136" t="s">
        <v>1019</v>
      </c>
      <c r="P33" s="136" t="s">
        <v>1019</v>
      </c>
      <c r="Q33" s="136" t="s">
        <v>1019</v>
      </c>
      <c r="R33" s="136" t="s">
        <v>1019</v>
      </c>
      <c r="S33" s="136" t="s">
        <v>1019</v>
      </c>
      <c r="T33" s="136" t="s">
        <v>1019</v>
      </c>
      <c r="U33" s="136" t="s">
        <v>1019</v>
      </c>
      <c r="V33" s="136" t="s">
        <v>1019</v>
      </c>
      <c r="W33" s="136" t="s">
        <v>1019</v>
      </c>
      <c r="X33" s="136" t="s">
        <v>1019</v>
      </c>
      <c r="Y33" s="99"/>
      <c r="Z33" s="64"/>
      <c r="BB33" s="509" t="str">
        <f>CountryCode &amp; ".T3.OAP.S1312.MNAC." &amp; RefVintage</f>
        <v>HU.T3.OAP.S1312.MNAC.W.2020</v>
      </c>
    </row>
    <row r="34" spans="1:54" s="18" customFormat="1" ht="16.5" customHeight="1">
      <c r="A34" s="290" t="s">
        <v>363</v>
      </c>
      <c r="B34" s="414" t="s">
        <v>965</v>
      </c>
      <c r="C34" s="354" t="s">
        <v>477</v>
      </c>
      <c r="D34" s="136" t="s">
        <v>1019</v>
      </c>
      <c r="E34" s="136" t="s">
        <v>1019</v>
      </c>
      <c r="F34" s="136" t="s">
        <v>1019</v>
      </c>
      <c r="G34" s="136" t="s">
        <v>1019</v>
      </c>
      <c r="H34" s="136" t="s">
        <v>1019</v>
      </c>
      <c r="I34" s="136" t="s">
        <v>1019</v>
      </c>
      <c r="J34" s="136" t="s">
        <v>1019</v>
      </c>
      <c r="K34" s="136" t="s">
        <v>1019</v>
      </c>
      <c r="L34" s="136" t="s">
        <v>1019</v>
      </c>
      <c r="M34" s="136" t="s">
        <v>1019</v>
      </c>
      <c r="N34" s="136" t="s">
        <v>1019</v>
      </c>
      <c r="O34" s="136" t="s">
        <v>1019</v>
      </c>
      <c r="P34" s="136" t="s">
        <v>1019</v>
      </c>
      <c r="Q34" s="136" t="s">
        <v>1019</v>
      </c>
      <c r="R34" s="136" t="s">
        <v>1019</v>
      </c>
      <c r="S34" s="136" t="s">
        <v>1019</v>
      </c>
      <c r="T34" s="136" t="s">
        <v>1019</v>
      </c>
      <c r="U34" s="136" t="s">
        <v>1019</v>
      </c>
      <c r="V34" s="136" t="s">
        <v>1019</v>
      </c>
      <c r="W34" s="136" t="s">
        <v>1019</v>
      </c>
      <c r="X34" s="136" t="s">
        <v>1019</v>
      </c>
      <c r="Y34" s="99"/>
      <c r="Z34" s="64"/>
      <c r="BB34" s="509" t="str">
        <f>CountryCode &amp; ".T3.OLIA.S1312.MNAC." &amp; RefVintage</f>
        <v>HU.T3.OLIA.S1312.MNAC.W.2020</v>
      </c>
    </row>
    <row r="35" spans="1:54" s="18" customFormat="1" ht="16.5" customHeight="1">
      <c r="A35" s="290"/>
      <c r="B35" s="150"/>
      <c r="C35" s="360"/>
      <c r="D35" s="113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99"/>
      <c r="Z35" s="64"/>
      <c r="BB35" s="509"/>
    </row>
    <row r="36" spans="1:54" s="18" customFormat="1" ht="16.5" customHeight="1">
      <c r="A36" s="290" t="s">
        <v>364</v>
      </c>
      <c r="B36" s="414" t="s">
        <v>966</v>
      </c>
      <c r="C36" s="354" t="s">
        <v>66</v>
      </c>
      <c r="D36" s="136" t="s">
        <v>1019</v>
      </c>
      <c r="E36" s="136" t="s">
        <v>1019</v>
      </c>
      <c r="F36" s="136" t="s">
        <v>1019</v>
      </c>
      <c r="G36" s="136" t="s">
        <v>1019</v>
      </c>
      <c r="H36" s="136" t="s">
        <v>1019</v>
      </c>
      <c r="I36" s="136" t="s">
        <v>1019</v>
      </c>
      <c r="J36" s="136" t="s">
        <v>1019</v>
      </c>
      <c r="K36" s="136" t="s">
        <v>1019</v>
      </c>
      <c r="L36" s="136" t="s">
        <v>1019</v>
      </c>
      <c r="M36" s="136" t="s">
        <v>1019</v>
      </c>
      <c r="N36" s="136" t="s">
        <v>1019</v>
      </c>
      <c r="O36" s="136" t="s">
        <v>1019</v>
      </c>
      <c r="P36" s="136" t="s">
        <v>1019</v>
      </c>
      <c r="Q36" s="136" t="s">
        <v>1019</v>
      </c>
      <c r="R36" s="136" t="s">
        <v>1019</v>
      </c>
      <c r="S36" s="136" t="s">
        <v>1019</v>
      </c>
      <c r="T36" s="136" t="s">
        <v>1019</v>
      </c>
      <c r="U36" s="136" t="s">
        <v>1019</v>
      </c>
      <c r="V36" s="136" t="s">
        <v>1019</v>
      </c>
      <c r="W36" s="136" t="s">
        <v>1019</v>
      </c>
      <c r="X36" s="136" t="s">
        <v>1019</v>
      </c>
      <c r="Y36" s="99"/>
      <c r="Z36" s="64"/>
      <c r="BB36" s="509" t="str">
        <f>CountryCode &amp; ".T3.ISS_A.S1312.MNAC." &amp; RefVintage</f>
        <v>HU.T3.ISS_A.S1312.MNAC.W.2020</v>
      </c>
    </row>
    <row r="37" spans="1:54" s="18" customFormat="1" ht="16.5" customHeight="1">
      <c r="A37" s="290" t="s">
        <v>365</v>
      </c>
      <c r="B37" s="414" t="s">
        <v>967</v>
      </c>
      <c r="C37" s="354" t="s">
        <v>478</v>
      </c>
      <c r="D37" s="136" t="s">
        <v>1019</v>
      </c>
      <c r="E37" s="136" t="s">
        <v>1019</v>
      </c>
      <c r="F37" s="136" t="s">
        <v>1019</v>
      </c>
      <c r="G37" s="136" t="s">
        <v>1019</v>
      </c>
      <c r="H37" s="136" t="s">
        <v>1019</v>
      </c>
      <c r="I37" s="136" t="s">
        <v>1019</v>
      </c>
      <c r="J37" s="136" t="s">
        <v>1019</v>
      </c>
      <c r="K37" s="136" t="s">
        <v>1019</v>
      </c>
      <c r="L37" s="136" t="s">
        <v>1019</v>
      </c>
      <c r="M37" s="136" t="s">
        <v>1019</v>
      </c>
      <c r="N37" s="136" t="s">
        <v>1019</v>
      </c>
      <c r="O37" s="136" t="s">
        <v>1019</v>
      </c>
      <c r="P37" s="136" t="s">
        <v>1019</v>
      </c>
      <c r="Q37" s="136" t="s">
        <v>1019</v>
      </c>
      <c r="R37" s="136" t="s">
        <v>1019</v>
      </c>
      <c r="S37" s="136" t="s">
        <v>1019</v>
      </c>
      <c r="T37" s="136" t="s">
        <v>1019</v>
      </c>
      <c r="U37" s="136" t="s">
        <v>1019</v>
      </c>
      <c r="V37" s="136" t="s">
        <v>1019</v>
      </c>
      <c r="W37" s="136" t="s">
        <v>1019</v>
      </c>
      <c r="X37" s="136" t="s">
        <v>1019</v>
      </c>
      <c r="Y37" s="99"/>
      <c r="Z37" s="64"/>
      <c r="BB37" s="509" t="str">
        <f>CountryCode &amp; ".T3.D41_A.S1312.MNAC." &amp; RefVintage</f>
        <v>HU.T3.D41_A.S1312.MNAC.W.2020</v>
      </c>
    </row>
    <row r="38" spans="1:54" s="191" customFormat="1" ht="16.5" customHeight="1">
      <c r="A38" s="290" t="s">
        <v>366</v>
      </c>
      <c r="B38" s="414" t="s">
        <v>968</v>
      </c>
      <c r="C38" s="361" t="s">
        <v>479</v>
      </c>
      <c r="D38" s="136" t="s">
        <v>1019</v>
      </c>
      <c r="E38" s="136" t="s">
        <v>1019</v>
      </c>
      <c r="F38" s="136" t="s">
        <v>1019</v>
      </c>
      <c r="G38" s="136" t="s">
        <v>1019</v>
      </c>
      <c r="H38" s="136" t="s">
        <v>1019</v>
      </c>
      <c r="I38" s="136" t="s">
        <v>1019</v>
      </c>
      <c r="J38" s="136" t="s">
        <v>1019</v>
      </c>
      <c r="K38" s="136" t="s">
        <v>1019</v>
      </c>
      <c r="L38" s="136" t="s">
        <v>1019</v>
      </c>
      <c r="M38" s="136" t="s">
        <v>1019</v>
      </c>
      <c r="N38" s="136" t="s">
        <v>1019</v>
      </c>
      <c r="O38" s="136" t="s">
        <v>1019</v>
      </c>
      <c r="P38" s="136" t="s">
        <v>1019</v>
      </c>
      <c r="Q38" s="136" t="s">
        <v>1019</v>
      </c>
      <c r="R38" s="136" t="s">
        <v>1019</v>
      </c>
      <c r="S38" s="136" t="s">
        <v>1019</v>
      </c>
      <c r="T38" s="136" t="s">
        <v>1019</v>
      </c>
      <c r="U38" s="136" t="s">
        <v>1019</v>
      </c>
      <c r="V38" s="136" t="s">
        <v>1019</v>
      </c>
      <c r="W38" s="136" t="s">
        <v>1019</v>
      </c>
      <c r="X38" s="136" t="s">
        <v>1019</v>
      </c>
      <c r="Y38" s="99"/>
      <c r="Z38" s="64"/>
      <c r="BB38" s="510" t="str">
        <f>CountryCode &amp; ".T3.RED_A.S1312.MNAC." &amp; RefVintage</f>
        <v>HU.T3.RED_A.S1312.MNAC.W.2020</v>
      </c>
    </row>
    <row r="39" spans="1:54" s="18" customFormat="1" ht="16.5" customHeight="1">
      <c r="A39" s="290"/>
      <c r="B39" s="150"/>
      <c r="C39" s="360"/>
      <c r="D39" s="113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99"/>
      <c r="Z39" s="64"/>
      <c r="BB39" s="509"/>
    </row>
    <row r="40" spans="1:54" s="18" customFormat="1" ht="16.5" customHeight="1">
      <c r="A40" s="290" t="s">
        <v>367</v>
      </c>
      <c r="B40" s="414" t="s">
        <v>969</v>
      </c>
      <c r="C40" s="354" t="s">
        <v>95</v>
      </c>
      <c r="D40" s="136" t="s">
        <v>1019</v>
      </c>
      <c r="E40" s="136" t="s">
        <v>1019</v>
      </c>
      <c r="F40" s="136" t="s">
        <v>1019</v>
      </c>
      <c r="G40" s="136" t="s">
        <v>1019</v>
      </c>
      <c r="H40" s="136" t="s">
        <v>1019</v>
      </c>
      <c r="I40" s="136" t="s">
        <v>1019</v>
      </c>
      <c r="J40" s="136" t="s">
        <v>1019</v>
      </c>
      <c r="K40" s="136" t="s">
        <v>1019</v>
      </c>
      <c r="L40" s="136" t="s">
        <v>1019</v>
      </c>
      <c r="M40" s="136" t="s">
        <v>1019</v>
      </c>
      <c r="N40" s="136" t="s">
        <v>1019</v>
      </c>
      <c r="O40" s="136" t="s">
        <v>1019</v>
      </c>
      <c r="P40" s="136" t="s">
        <v>1019</v>
      </c>
      <c r="Q40" s="136" t="s">
        <v>1019</v>
      </c>
      <c r="R40" s="136" t="s">
        <v>1019</v>
      </c>
      <c r="S40" s="136" t="s">
        <v>1019</v>
      </c>
      <c r="T40" s="136" t="s">
        <v>1019</v>
      </c>
      <c r="U40" s="136" t="s">
        <v>1019</v>
      </c>
      <c r="V40" s="136" t="s">
        <v>1019</v>
      </c>
      <c r="W40" s="136" t="s">
        <v>1019</v>
      </c>
      <c r="X40" s="136" t="s">
        <v>1019</v>
      </c>
      <c r="Y40" s="99"/>
      <c r="Z40" s="64"/>
      <c r="BB40" s="509" t="str">
        <f>CountryCode &amp; ".T3.FREV_A.S1312.MNAC." &amp; RefVintage</f>
        <v>HU.T3.FREV_A.S1312.MNAC.W.2020</v>
      </c>
    </row>
    <row r="41" spans="1:54" s="18" customFormat="1" ht="16.5" customHeight="1">
      <c r="A41" s="290" t="s">
        <v>522</v>
      </c>
      <c r="B41" s="414" t="s">
        <v>970</v>
      </c>
      <c r="C41" s="354" t="s">
        <v>480</v>
      </c>
      <c r="D41" s="136" t="s">
        <v>1019</v>
      </c>
      <c r="E41" s="136" t="s">
        <v>1019</v>
      </c>
      <c r="F41" s="136" t="s">
        <v>1019</v>
      </c>
      <c r="G41" s="136" t="s">
        <v>1019</v>
      </c>
      <c r="H41" s="136" t="s">
        <v>1019</v>
      </c>
      <c r="I41" s="136" t="s">
        <v>1019</v>
      </c>
      <c r="J41" s="136" t="s">
        <v>1019</v>
      </c>
      <c r="K41" s="136" t="s">
        <v>1019</v>
      </c>
      <c r="L41" s="136" t="s">
        <v>1019</v>
      </c>
      <c r="M41" s="136" t="s">
        <v>1019</v>
      </c>
      <c r="N41" s="136" t="s">
        <v>1019</v>
      </c>
      <c r="O41" s="136" t="s">
        <v>1019</v>
      </c>
      <c r="P41" s="136" t="s">
        <v>1019</v>
      </c>
      <c r="Q41" s="136" t="s">
        <v>1019</v>
      </c>
      <c r="R41" s="136" t="s">
        <v>1019</v>
      </c>
      <c r="S41" s="136" t="s">
        <v>1019</v>
      </c>
      <c r="T41" s="136" t="s">
        <v>1019</v>
      </c>
      <c r="U41" s="136" t="s">
        <v>1019</v>
      </c>
      <c r="V41" s="136" t="s">
        <v>1019</v>
      </c>
      <c r="W41" s="136" t="s">
        <v>1019</v>
      </c>
      <c r="X41" s="136" t="s">
        <v>1019</v>
      </c>
      <c r="Y41" s="99"/>
      <c r="Z41" s="64"/>
      <c r="BB41" s="509" t="str">
        <f>CountryCode &amp; ".T3.K61.S1312.MNAC." &amp; RefVintage</f>
        <v>HU.T3.K61.S1312.MNAC.W.2020</v>
      </c>
    </row>
    <row r="42" spans="1:54" s="18" customFormat="1" ht="16.5" customHeight="1">
      <c r="A42" s="290" t="s">
        <v>368</v>
      </c>
      <c r="B42" s="414" t="s">
        <v>971</v>
      </c>
      <c r="C42" s="354" t="s">
        <v>481</v>
      </c>
      <c r="D42" s="136" t="s">
        <v>1019</v>
      </c>
      <c r="E42" s="136" t="s">
        <v>1019</v>
      </c>
      <c r="F42" s="136" t="s">
        <v>1019</v>
      </c>
      <c r="G42" s="136" t="s">
        <v>1019</v>
      </c>
      <c r="H42" s="136" t="s">
        <v>1019</v>
      </c>
      <c r="I42" s="136" t="s">
        <v>1019</v>
      </c>
      <c r="J42" s="136" t="s">
        <v>1019</v>
      </c>
      <c r="K42" s="136" t="s">
        <v>1019</v>
      </c>
      <c r="L42" s="136" t="s">
        <v>1019</v>
      </c>
      <c r="M42" s="136" t="s">
        <v>1019</v>
      </c>
      <c r="N42" s="136" t="s">
        <v>1019</v>
      </c>
      <c r="O42" s="136" t="s">
        <v>1019</v>
      </c>
      <c r="P42" s="136" t="s">
        <v>1019</v>
      </c>
      <c r="Q42" s="136" t="s">
        <v>1019</v>
      </c>
      <c r="R42" s="136" t="s">
        <v>1019</v>
      </c>
      <c r="S42" s="136" t="s">
        <v>1019</v>
      </c>
      <c r="T42" s="136" t="s">
        <v>1019</v>
      </c>
      <c r="U42" s="136" t="s">
        <v>1019</v>
      </c>
      <c r="V42" s="136" t="s">
        <v>1019</v>
      </c>
      <c r="W42" s="136" t="s">
        <v>1019</v>
      </c>
      <c r="X42" s="136" t="s">
        <v>1019</v>
      </c>
      <c r="Y42" s="99"/>
      <c r="Z42" s="64"/>
      <c r="BB42" s="509" t="str">
        <f>CountryCode &amp; ".T3.OCVO_A.S1312.MNAC." &amp; RefVintage</f>
        <v>HU.T3.OCVO_A.S1312.MNAC.W.2020</v>
      </c>
    </row>
    <row r="43" spans="1:54" s="18" customFormat="1" ht="16.5" customHeight="1">
      <c r="A43" s="290"/>
      <c r="B43" s="150"/>
      <c r="C43" s="360"/>
      <c r="D43" s="113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99"/>
      <c r="Z43" s="64"/>
      <c r="BB43" s="509"/>
    </row>
    <row r="44" spans="1:54" s="18" customFormat="1" ht="16.5" customHeight="1">
      <c r="A44" s="290" t="s">
        <v>369</v>
      </c>
      <c r="B44" s="414" t="s">
        <v>972</v>
      </c>
      <c r="C44" s="359" t="s">
        <v>64</v>
      </c>
      <c r="D44" s="136" t="s">
        <v>1019</v>
      </c>
      <c r="E44" s="136" t="s">
        <v>1019</v>
      </c>
      <c r="F44" s="136" t="s">
        <v>1019</v>
      </c>
      <c r="G44" s="136" t="s">
        <v>1019</v>
      </c>
      <c r="H44" s="136" t="s">
        <v>1019</v>
      </c>
      <c r="I44" s="136" t="s">
        <v>1019</v>
      </c>
      <c r="J44" s="136" t="s">
        <v>1019</v>
      </c>
      <c r="K44" s="136" t="s">
        <v>1019</v>
      </c>
      <c r="L44" s="136" t="s">
        <v>1019</v>
      </c>
      <c r="M44" s="136" t="s">
        <v>1019</v>
      </c>
      <c r="N44" s="136" t="s">
        <v>1019</v>
      </c>
      <c r="O44" s="136" t="s">
        <v>1019</v>
      </c>
      <c r="P44" s="136" t="s">
        <v>1019</v>
      </c>
      <c r="Q44" s="136" t="s">
        <v>1019</v>
      </c>
      <c r="R44" s="136" t="s">
        <v>1019</v>
      </c>
      <c r="S44" s="136" t="s">
        <v>1019</v>
      </c>
      <c r="T44" s="136" t="s">
        <v>1019</v>
      </c>
      <c r="U44" s="136" t="s">
        <v>1019</v>
      </c>
      <c r="V44" s="136" t="s">
        <v>1019</v>
      </c>
      <c r="W44" s="136" t="s">
        <v>1019</v>
      </c>
      <c r="X44" s="136" t="s">
        <v>1019</v>
      </c>
      <c r="Y44" s="99"/>
      <c r="Z44" s="64"/>
      <c r="BB44" s="509" t="str">
        <f>CountryCode &amp; ".T3.SD.S1312.MNAC." &amp; RefVintage</f>
        <v>HU.T3.SD.S1312.MNAC.W.2020</v>
      </c>
    </row>
    <row r="45" spans="1:54" s="18" customFormat="1" ht="16.5" customHeight="1">
      <c r="A45" s="290" t="s">
        <v>370</v>
      </c>
      <c r="B45" s="414" t="s">
        <v>973</v>
      </c>
      <c r="C45" s="354" t="s">
        <v>73</v>
      </c>
      <c r="D45" s="136" t="s">
        <v>1019</v>
      </c>
      <c r="E45" s="136" t="s">
        <v>1019</v>
      </c>
      <c r="F45" s="136" t="s">
        <v>1019</v>
      </c>
      <c r="G45" s="136" t="s">
        <v>1019</v>
      </c>
      <c r="H45" s="136" t="s">
        <v>1019</v>
      </c>
      <c r="I45" s="136" t="s">
        <v>1019</v>
      </c>
      <c r="J45" s="136" t="s">
        <v>1019</v>
      </c>
      <c r="K45" s="136" t="s">
        <v>1019</v>
      </c>
      <c r="L45" s="136" t="s">
        <v>1019</v>
      </c>
      <c r="M45" s="136" t="s">
        <v>1019</v>
      </c>
      <c r="N45" s="136" t="s">
        <v>1019</v>
      </c>
      <c r="O45" s="136" t="s">
        <v>1019</v>
      </c>
      <c r="P45" s="136" t="s">
        <v>1019</v>
      </c>
      <c r="Q45" s="136" t="s">
        <v>1019</v>
      </c>
      <c r="R45" s="136" t="s">
        <v>1019</v>
      </c>
      <c r="S45" s="136" t="s">
        <v>1019</v>
      </c>
      <c r="T45" s="136" t="s">
        <v>1019</v>
      </c>
      <c r="U45" s="136" t="s">
        <v>1019</v>
      </c>
      <c r="V45" s="136" t="s">
        <v>1019</v>
      </c>
      <c r="W45" s="136" t="s">
        <v>1019</v>
      </c>
      <c r="X45" s="136" t="s">
        <v>1019</v>
      </c>
      <c r="Y45" s="99"/>
      <c r="Z45" s="64"/>
      <c r="BB45" s="509" t="str">
        <f>CountryCode &amp; ".T3.B9_SD.S1312.MNAC." &amp; RefVintage</f>
        <v>HU.T3.B9_SD.S1312.MNAC.W.2020</v>
      </c>
    </row>
    <row r="46" spans="1:54" s="18" customFormat="1" ht="16.5" customHeight="1">
      <c r="A46" s="290" t="s">
        <v>371</v>
      </c>
      <c r="B46" s="414" t="s">
        <v>974</v>
      </c>
      <c r="C46" s="354" t="s">
        <v>63</v>
      </c>
      <c r="D46" s="136" t="s">
        <v>1019</v>
      </c>
      <c r="E46" s="136" t="s">
        <v>1019</v>
      </c>
      <c r="F46" s="136" t="s">
        <v>1019</v>
      </c>
      <c r="G46" s="136" t="s">
        <v>1019</v>
      </c>
      <c r="H46" s="136" t="s">
        <v>1019</v>
      </c>
      <c r="I46" s="136" t="s">
        <v>1019</v>
      </c>
      <c r="J46" s="136" t="s">
        <v>1019</v>
      </c>
      <c r="K46" s="136" t="s">
        <v>1019</v>
      </c>
      <c r="L46" s="136" t="s">
        <v>1019</v>
      </c>
      <c r="M46" s="136" t="s">
        <v>1019</v>
      </c>
      <c r="N46" s="136" t="s">
        <v>1019</v>
      </c>
      <c r="O46" s="136" t="s">
        <v>1019</v>
      </c>
      <c r="P46" s="136" t="s">
        <v>1019</v>
      </c>
      <c r="Q46" s="136" t="s">
        <v>1019</v>
      </c>
      <c r="R46" s="136" t="s">
        <v>1019</v>
      </c>
      <c r="S46" s="136" t="s">
        <v>1019</v>
      </c>
      <c r="T46" s="136" t="s">
        <v>1019</v>
      </c>
      <c r="U46" s="136" t="s">
        <v>1019</v>
      </c>
      <c r="V46" s="136" t="s">
        <v>1019</v>
      </c>
      <c r="W46" s="136" t="s">
        <v>1019</v>
      </c>
      <c r="X46" s="136" t="s">
        <v>1019</v>
      </c>
      <c r="Y46" s="99"/>
      <c r="Z46" s="64"/>
      <c r="BB46" s="509" t="str">
        <f>CountryCode &amp; ".T3.OSD.S1312.MNAC." &amp; RefVintage</f>
        <v>HU.T3.OSD.S1312.MNAC.W.2020</v>
      </c>
    </row>
    <row r="47" spans="1:54" s="18" customFormat="1" ht="13.5" customHeight="1" thickBot="1">
      <c r="A47" s="234"/>
      <c r="B47" s="150"/>
      <c r="C47" s="358"/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7"/>
      <c r="Z47" s="64"/>
      <c r="BB47" s="509"/>
    </row>
    <row r="48" spans="1:54" s="18" customFormat="1" ht="19.5" customHeight="1" thickTop="1" thickBot="1">
      <c r="A48" s="290" t="s">
        <v>372</v>
      </c>
      <c r="B48" s="414" t="s">
        <v>975</v>
      </c>
      <c r="C48" s="312" t="s">
        <v>103</v>
      </c>
      <c r="D48" s="136" t="s">
        <v>1019</v>
      </c>
      <c r="E48" s="136" t="s">
        <v>1019</v>
      </c>
      <c r="F48" s="136" t="s">
        <v>1019</v>
      </c>
      <c r="G48" s="136" t="s">
        <v>1019</v>
      </c>
      <c r="H48" s="136" t="s">
        <v>1019</v>
      </c>
      <c r="I48" s="136" t="s">
        <v>1019</v>
      </c>
      <c r="J48" s="136" t="s">
        <v>1019</v>
      </c>
      <c r="K48" s="136" t="s">
        <v>1019</v>
      </c>
      <c r="L48" s="136" t="s">
        <v>1019</v>
      </c>
      <c r="M48" s="136" t="s">
        <v>1019</v>
      </c>
      <c r="N48" s="136" t="s">
        <v>1019</v>
      </c>
      <c r="O48" s="136" t="s">
        <v>1019</v>
      </c>
      <c r="P48" s="136" t="s">
        <v>1019</v>
      </c>
      <c r="Q48" s="136" t="s">
        <v>1019</v>
      </c>
      <c r="R48" s="136" t="s">
        <v>1019</v>
      </c>
      <c r="S48" s="136" t="s">
        <v>1019</v>
      </c>
      <c r="T48" s="136" t="s">
        <v>1019</v>
      </c>
      <c r="U48" s="136" t="s">
        <v>1019</v>
      </c>
      <c r="V48" s="136" t="s">
        <v>1019</v>
      </c>
      <c r="W48" s="136" t="s">
        <v>1019</v>
      </c>
      <c r="X48" s="136" t="s">
        <v>1019</v>
      </c>
      <c r="Y48" s="6"/>
      <c r="Z48" s="64"/>
      <c r="BB48" s="509" t="str">
        <f>CountryCode &amp; ".T3.CHDEBT.S1312.MNAC." &amp; RefVintage</f>
        <v>HU.T3.CHDEBT.S1312.MNAC.W.2020</v>
      </c>
    </row>
    <row r="49" spans="1:54" ht="9" customHeight="1" thickTop="1" thickBot="1">
      <c r="A49" s="234"/>
      <c r="B49" s="150"/>
      <c r="C49" s="37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8"/>
      <c r="Z49" s="50"/>
    </row>
    <row r="50" spans="1:54" ht="9" customHeight="1" thickTop="1" thickBot="1">
      <c r="A50" s="234"/>
      <c r="B50" s="150"/>
      <c r="C50" s="371"/>
      <c r="D50" s="91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"/>
      <c r="Z50" s="50"/>
    </row>
    <row r="51" spans="1:54" ht="18.75" thickTop="1" thickBot="1">
      <c r="A51" s="290" t="s">
        <v>373</v>
      </c>
      <c r="B51" s="414" t="s">
        <v>976</v>
      </c>
      <c r="C51" s="312" t="s">
        <v>104</v>
      </c>
      <c r="D51" s="491" t="s">
        <v>1019</v>
      </c>
      <c r="E51" s="492" t="s">
        <v>1019</v>
      </c>
      <c r="F51" s="492" t="s">
        <v>1019</v>
      </c>
      <c r="G51" s="492" t="s">
        <v>1019</v>
      </c>
      <c r="H51" s="492" t="s">
        <v>1019</v>
      </c>
      <c r="I51" s="492" t="s">
        <v>1019</v>
      </c>
      <c r="J51" s="492" t="s">
        <v>1019</v>
      </c>
      <c r="K51" s="492" t="s">
        <v>1019</v>
      </c>
      <c r="L51" s="492" t="s">
        <v>1019</v>
      </c>
      <c r="M51" s="492" t="s">
        <v>1019</v>
      </c>
      <c r="N51" s="492" t="s">
        <v>1019</v>
      </c>
      <c r="O51" s="492" t="s">
        <v>1019</v>
      </c>
      <c r="P51" s="492" t="s">
        <v>1019</v>
      </c>
      <c r="Q51" s="492" t="s">
        <v>1019</v>
      </c>
      <c r="R51" s="492" t="s">
        <v>1019</v>
      </c>
      <c r="S51" s="492" t="s">
        <v>1019</v>
      </c>
      <c r="T51" s="492" t="s">
        <v>1019</v>
      </c>
      <c r="U51" s="492" t="s">
        <v>1019</v>
      </c>
      <c r="V51" s="492" t="s">
        <v>1019</v>
      </c>
      <c r="W51" s="492" t="s">
        <v>1019</v>
      </c>
      <c r="X51" s="492" t="s">
        <v>1019</v>
      </c>
      <c r="Y51" s="4"/>
      <c r="Z51" s="50"/>
      <c r="BB51" s="315" t="str">
        <f>CountryCode &amp; ".T3.CTDEBT.S1312.MNAC." &amp; RefVintage</f>
        <v>HU.T3.CTDEBT.S1312.MNAC.W.2020</v>
      </c>
    </row>
    <row r="52" spans="1:54" ht="15.75" thickTop="1">
      <c r="A52" s="290" t="s">
        <v>374</v>
      </c>
      <c r="B52" s="414" t="s">
        <v>977</v>
      </c>
      <c r="C52" s="354" t="s">
        <v>106</v>
      </c>
      <c r="D52" s="489" t="s">
        <v>1019</v>
      </c>
      <c r="E52" s="489" t="s">
        <v>1019</v>
      </c>
      <c r="F52" s="489" t="s">
        <v>1019</v>
      </c>
      <c r="G52" s="489" t="s">
        <v>1019</v>
      </c>
      <c r="H52" s="489" t="s">
        <v>1019</v>
      </c>
      <c r="I52" s="489" t="s">
        <v>1019</v>
      </c>
      <c r="J52" s="489" t="s">
        <v>1019</v>
      </c>
      <c r="K52" s="489" t="s">
        <v>1019</v>
      </c>
      <c r="L52" s="489" t="s">
        <v>1019</v>
      </c>
      <c r="M52" s="489" t="s">
        <v>1019</v>
      </c>
      <c r="N52" s="489" t="s">
        <v>1019</v>
      </c>
      <c r="O52" s="489" t="s">
        <v>1019</v>
      </c>
      <c r="P52" s="489" t="s">
        <v>1019</v>
      </c>
      <c r="Q52" s="489" t="s">
        <v>1019</v>
      </c>
      <c r="R52" s="489" t="s">
        <v>1019</v>
      </c>
      <c r="S52" s="489" t="s">
        <v>1019</v>
      </c>
      <c r="T52" s="489" t="s">
        <v>1019</v>
      </c>
      <c r="U52" s="489" t="s">
        <v>1019</v>
      </c>
      <c r="V52" s="489" t="s">
        <v>1019</v>
      </c>
      <c r="W52" s="489" t="s">
        <v>1019</v>
      </c>
      <c r="X52" s="489" t="s">
        <v>1019</v>
      </c>
      <c r="Y52" s="490"/>
      <c r="Z52" s="50"/>
      <c r="BB52" s="315" t="str">
        <f>CountryCode &amp; ".T3.DEBT.S1312.MNAC." &amp; RefVintage</f>
        <v>HU.T3.DEBT.S1312.MNAC.W.2020</v>
      </c>
    </row>
    <row r="53" spans="1:54" ht="18.75" customHeight="1">
      <c r="A53" s="290" t="s">
        <v>375</v>
      </c>
      <c r="B53" s="414" t="s">
        <v>978</v>
      </c>
      <c r="C53" s="372" t="s">
        <v>107</v>
      </c>
      <c r="D53" s="136" t="s">
        <v>1019</v>
      </c>
      <c r="E53" s="136" t="s">
        <v>1019</v>
      </c>
      <c r="F53" s="136" t="s">
        <v>1019</v>
      </c>
      <c r="G53" s="136" t="s">
        <v>1019</v>
      </c>
      <c r="H53" s="136" t="s">
        <v>1019</v>
      </c>
      <c r="I53" s="136" t="s">
        <v>1019</v>
      </c>
      <c r="J53" s="136" t="s">
        <v>1019</v>
      </c>
      <c r="K53" s="136" t="s">
        <v>1019</v>
      </c>
      <c r="L53" s="136" t="s">
        <v>1019</v>
      </c>
      <c r="M53" s="136" t="s">
        <v>1019</v>
      </c>
      <c r="N53" s="136" t="s">
        <v>1019</v>
      </c>
      <c r="O53" s="136" t="s">
        <v>1019</v>
      </c>
      <c r="P53" s="136" t="s">
        <v>1019</v>
      </c>
      <c r="Q53" s="136" t="s">
        <v>1019</v>
      </c>
      <c r="R53" s="136" t="s">
        <v>1019</v>
      </c>
      <c r="S53" s="136" t="s">
        <v>1019</v>
      </c>
      <c r="T53" s="136" t="s">
        <v>1019</v>
      </c>
      <c r="U53" s="136" t="s">
        <v>1019</v>
      </c>
      <c r="V53" s="136" t="s">
        <v>1019</v>
      </c>
      <c r="W53" s="136" t="s">
        <v>1019</v>
      </c>
      <c r="X53" s="136" t="s">
        <v>1019</v>
      </c>
      <c r="Y53" s="137"/>
      <c r="Z53" s="50"/>
      <c r="BB53" s="315" t="str">
        <f>CountryCode &amp; ".T3.HOLD.S1312.MNAC." &amp; RefVintage</f>
        <v>HU.T3.HOLD.S1312.MNAC.W.2020</v>
      </c>
    </row>
    <row r="54" spans="1:54" ht="9.75" customHeight="1" thickBot="1">
      <c r="A54" s="159"/>
      <c r="B54" s="150"/>
      <c r="C54" s="17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71"/>
      <c r="Z54" s="50"/>
    </row>
    <row r="55" spans="1:54" ht="20.25" thickTop="1" thickBot="1">
      <c r="A55" s="151"/>
      <c r="B55" s="150"/>
      <c r="C55" s="369" t="str">
        <f>'Table 3A'!$C$50</f>
        <v xml:space="preserve">*Please note that the sign convention for net lending/ net borrowing is different from tables 1 and 2. </v>
      </c>
      <c r="D55" s="350"/>
      <c r="E55" s="350"/>
      <c r="F55" s="350"/>
      <c r="G55" s="350"/>
      <c r="H55" s="350"/>
      <c r="I55" s="350"/>
      <c r="J55" s="350"/>
      <c r="K55" s="350"/>
      <c r="L55" s="350"/>
      <c r="M55" s="350"/>
      <c r="N55" s="350"/>
      <c r="O55" s="350"/>
      <c r="P55" s="350"/>
      <c r="Q55" s="350"/>
      <c r="R55" s="350"/>
      <c r="S55" s="350"/>
      <c r="T55" s="350"/>
      <c r="U55" s="350"/>
      <c r="V55" s="350"/>
      <c r="W55" s="350"/>
      <c r="X55" s="350"/>
      <c r="Y55" s="351"/>
      <c r="Z55" s="50"/>
      <c r="AB55" s="13"/>
    </row>
    <row r="56" spans="1:54" ht="8.25" customHeight="1" thickTop="1">
      <c r="A56" s="151"/>
      <c r="B56" s="150"/>
      <c r="C56" s="175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50"/>
      <c r="AB56" s="13"/>
    </row>
    <row r="57" spans="1:54" ht="15.75">
      <c r="A57" s="151"/>
      <c r="B57" s="150"/>
      <c r="C57" s="176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50"/>
      <c r="AB57" s="13"/>
    </row>
    <row r="58" spans="1:54" ht="15.75">
      <c r="A58" s="151"/>
      <c r="B58" s="150"/>
      <c r="C58" s="226" t="s">
        <v>96</v>
      </c>
      <c r="D58" s="226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50"/>
      <c r="AB58" s="13"/>
    </row>
    <row r="59" spans="1:54" ht="15.75">
      <c r="A59" s="151"/>
      <c r="B59" s="150"/>
      <c r="C59" s="224" t="s">
        <v>102</v>
      </c>
      <c r="D59" s="226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50"/>
      <c r="AB59" s="13"/>
    </row>
    <row r="60" spans="1:54" ht="18" customHeight="1">
      <c r="A60" s="151"/>
      <c r="B60" s="150"/>
      <c r="C60" s="224" t="s">
        <v>464</v>
      </c>
      <c r="D60" s="154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50"/>
      <c r="AB60" s="13"/>
    </row>
    <row r="61" spans="1:54" ht="9.75" customHeight="1" thickBot="1">
      <c r="A61" s="177"/>
      <c r="B61" s="170"/>
      <c r="C61" s="373"/>
      <c r="D61" s="374"/>
      <c r="E61" s="375"/>
      <c r="F61" s="375"/>
      <c r="G61" s="375"/>
      <c r="H61" s="375"/>
      <c r="I61" s="375"/>
      <c r="J61" s="375"/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375"/>
      <c r="X61" s="375"/>
      <c r="Y61" s="375"/>
      <c r="Z61" s="52"/>
      <c r="AB61" s="13"/>
    </row>
    <row r="62" spans="1:54" ht="16.5" thickTop="1">
      <c r="B62" s="212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13"/>
      <c r="AA62" s="13"/>
      <c r="AB62" s="13"/>
    </row>
    <row r="63" spans="1:54"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</row>
    <row r="64" spans="1:54" ht="30" customHeight="1">
      <c r="C64" s="323" t="s">
        <v>120</v>
      </c>
      <c r="D64" s="545" t="str">
        <f>IF(COUNTA(D10:W10,D12:W29,D31:W34,D36:W38,D40:W42,D44:W46,D48:W48,D51:W53)/720*100=100,"OK - Table 3C is fully completed","WARNING - Table 3C is not fully completed, please fill in figure, L, M or 0")</f>
        <v>OK - Table 3C is fully completed</v>
      </c>
      <c r="E64" s="545"/>
      <c r="F64" s="545"/>
      <c r="G64" s="545"/>
      <c r="H64" s="545"/>
      <c r="I64" s="545"/>
      <c r="J64" s="545"/>
      <c r="K64" s="545"/>
      <c r="L64" s="545"/>
      <c r="M64" s="545"/>
      <c r="N64" s="545"/>
      <c r="O64" s="545"/>
      <c r="P64" s="545"/>
      <c r="Q64" s="545"/>
      <c r="R64" s="545"/>
      <c r="S64" s="545"/>
      <c r="T64" s="545"/>
      <c r="U64" s="545"/>
      <c r="V64" s="545"/>
      <c r="W64" s="545"/>
      <c r="X64" s="545"/>
      <c r="Y64" s="316"/>
      <c r="Z64" s="195"/>
      <c r="AA64" s="29"/>
    </row>
    <row r="65" spans="3:27">
      <c r="C65" s="196" t="s">
        <v>121</v>
      </c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8"/>
      <c r="AA65" s="29"/>
    </row>
    <row r="66" spans="3:27" ht="15.75">
      <c r="C66" s="317" t="s">
        <v>167</v>
      </c>
      <c r="D66" s="318">
        <f>IF(AND(D48="0",D10="0",D12="0",D31="0",D44="0")=0,IF(AND(D48="L",D10="L",D12="L",D31="L",D44="L")="NC",IF(D48="M",0,D48)-IF(D10="M",0,D10)-IF(D12="M",0,D12)-IF(D31="M",0,D31)-IF(D44="M",0,D44)))</f>
        <v>0</v>
      </c>
      <c r="E66" s="318">
        <f t="shared" ref="E66:S66" si="23">IF(AND(E48="0",E10="0",E12="0",E31="0",E44="0")=0,IF(AND(E48="L",E10="L",E12="L",E31="L",E44="L")="NC",IF(E48="M",0,E48)-IF(E10="M",0,E10)-IF(E12="M",0,E12)-IF(E31="M",0,E31)-IF(E44="M",0,E44)))</f>
        <v>0</v>
      </c>
      <c r="F66" s="318">
        <f t="shared" si="23"/>
        <v>0</v>
      </c>
      <c r="G66" s="318">
        <f t="shared" si="23"/>
        <v>0</v>
      </c>
      <c r="H66" s="318">
        <f t="shared" si="23"/>
        <v>0</v>
      </c>
      <c r="I66" s="318">
        <f t="shared" si="23"/>
        <v>0</v>
      </c>
      <c r="J66" s="318">
        <f t="shared" si="23"/>
        <v>0</v>
      </c>
      <c r="K66" s="318">
        <f t="shared" si="23"/>
        <v>0</v>
      </c>
      <c r="L66" s="318">
        <f t="shared" si="23"/>
        <v>0</v>
      </c>
      <c r="M66" s="318">
        <f t="shared" si="23"/>
        <v>0</v>
      </c>
      <c r="N66" s="318">
        <f t="shared" si="23"/>
        <v>0</v>
      </c>
      <c r="O66" s="318">
        <f t="shared" si="23"/>
        <v>0</v>
      </c>
      <c r="P66" s="318">
        <f t="shared" si="23"/>
        <v>0</v>
      </c>
      <c r="Q66" s="318">
        <f t="shared" si="23"/>
        <v>0</v>
      </c>
      <c r="R66" s="318">
        <f t="shared" si="23"/>
        <v>0</v>
      </c>
      <c r="S66" s="318">
        <f t="shared" si="23"/>
        <v>0</v>
      </c>
      <c r="T66" s="318">
        <f t="shared" ref="T66:V66" si="24">IF(AND(T48="0",T10="0",T12="0",T31="0",T44="0")=0,IF(AND(T48="L",T10="L",T12="L",T31="L",T44="L")="NC",IF(T48="M",0,T48)-IF(T10="M",0,T10)-IF(T12="M",0,T12)-IF(T31="M",0,T31)-IF(T44="M",0,T44)))</f>
        <v>0</v>
      </c>
      <c r="U66" s="318">
        <f t="shared" si="24"/>
        <v>0</v>
      </c>
      <c r="V66" s="318">
        <f t="shared" si="24"/>
        <v>0</v>
      </c>
      <c r="W66" s="318">
        <f t="shared" ref="W66:X66" si="25">IF(AND(W48="0",W10="0",W12="0",W31="0",W44="0")=0,IF(AND(W48="L",W10="L",W12="L",W31="L",W44="L")="NC",IF(W48="M",0,W48)-IF(W10="M",0,W10)-IF(W12="M",0,W12)-IF(W31="M",0,W31)-IF(W44="M",0,W44)))</f>
        <v>0</v>
      </c>
      <c r="X66" s="318">
        <f t="shared" si="25"/>
        <v>0</v>
      </c>
      <c r="Y66" s="363"/>
      <c r="Z66" s="198"/>
      <c r="AA66" s="29"/>
    </row>
    <row r="67" spans="3:27" ht="15.75">
      <c r="C67" s="317" t="s">
        <v>521</v>
      </c>
      <c r="D67" s="318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318">
        <f t="shared" ref="E67:S67" si="26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318">
        <f t="shared" si="26"/>
        <v>0</v>
      </c>
      <c r="G67" s="318">
        <f t="shared" si="26"/>
        <v>0</v>
      </c>
      <c r="H67" s="318">
        <f t="shared" si="26"/>
        <v>0</v>
      </c>
      <c r="I67" s="318">
        <f t="shared" si="26"/>
        <v>0</v>
      </c>
      <c r="J67" s="318">
        <f t="shared" si="26"/>
        <v>0</v>
      </c>
      <c r="K67" s="318">
        <f t="shared" si="26"/>
        <v>0</v>
      </c>
      <c r="L67" s="318">
        <f t="shared" si="26"/>
        <v>0</v>
      </c>
      <c r="M67" s="318">
        <f t="shared" si="26"/>
        <v>0</v>
      </c>
      <c r="N67" s="318">
        <f t="shared" si="26"/>
        <v>0</v>
      </c>
      <c r="O67" s="318">
        <f t="shared" si="26"/>
        <v>0</v>
      </c>
      <c r="P67" s="318">
        <f t="shared" si="26"/>
        <v>0</v>
      </c>
      <c r="Q67" s="318">
        <f t="shared" si="26"/>
        <v>0</v>
      </c>
      <c r="R67" s="318">
        <f t="shared" si="26"/>
        <v>0</v>
      </c>
      <c r="S67" s="318">
        <f t="shared" si="26"/>
        <v>0</v>
      </c>
      <c r="T67" s="318">
        <f t="shared" ref="T67:V67" si="27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318">
        <f t="shared" si="27"/>
        <v>0</v>
      </c>
      <c r="V67" s="318">
        <f t="shared" si="27"/>
        <v>0</v>
      </c>
      <c r="W67" s="318">
        <f t="shared" ref="W67:X67" si="28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318">
        <f t="shared" si="28"/>
        <v>0</v>
      </c>
      <c r="Y67" s="363"/>
      <c r="Z67" s="198"/>
      <c r="AA67" s="29"/>
    </row>
    <row r="68" spans="3:27" ht="15.75">
      <c r="C68" s="365" t="s">
        <v>168</v>
      </c>
      <c r="D68" s="318">
        <f>IF(AND(D15="0",D18="0",D19="0"),0,IF(AND(D15="L",D18="L",D19="L"),"NC",IF(D15="M",0,D15)-IF(D18="M",0,D18)-IF(D19="M",0,D19)))</f>
        <v>0</v>
      </c>
      <c r="E68" s="318">
        <f t="shared" ref="E68:S68" si="29">IF(AND(E15="0",E18="0",E19="0"),0,IF(AND(E15="L",E18="L",E19="L"),"NC",IF(E15="M",0,E15)-IF(E18="M",0,E18)-IF(E19="M",0,E19)))</f>
        <v>0</v>
      </c>
      <c r="F68" s="318">
        <f t="shared" si="29"/>
        <v>0</v>
      </c>
      <c r="G68" s="318">
        <f t="shared" si="29"/>
        <v>0</v>
      </c>
      <c r="H68" s="318">
        <f t="shared" si="29"/>
        <v>0</v>
      </c>
      <c r="I68" s="318">
        <f t="shared" si="29"/>
        <v>0</v>
      </c>
      <c r="J68" s="318">
        <f t="shared" si="29"/>
        <v>0</v>
      </c>
      <c r="K68" s="318">
        <f t="shared" si="29"/>
        <v>0</v>
      </c>
      <c r="L68" s="318">
        <f t="shared" si="29"/>
        <v>0</v>
      </c>
      <c r="M68" s="318">
        <f t="shared" si="29"/>
        <v>0</v>
      </c>
      <c r="N68" s="318">
        <f t="shared" si="29"/>
        <v>0</v>
      </c>
      <c r="O68" s="318">
        <f t="shared" si="29"/>
        <v>0</v>
      </c>
      <c r="P68" s="318">
        <f t="shared" si="29"/>
        <v>0</v>
      </c>
      <c r="Q68" s="318">
        <f t="shared" si="29"/>
        <v>0</v>
      </c>
      <c r="R68" s="318">
        <f t="shared" si="29"/>
        <v>0</v>
      </c>
      <c r="S68" s="318">
        <f t="shared" si="29"/>
        <v>0</v>
      </c>
      <c r="T68" s="318">
        <f t="shared" ref="T68:V68" si="30">IF(AND(T15="0",T18="0",T19="0"),0,IF(AND(T15="L",T18="L",T19="L"),"NC",IF(T15="M",0,T15)-IF(T18="M",0,T18)-IF(T19="M",0,T19)))</f>
        <v>0</v>
      </c>
      <c r="U68" s="318">
        <f t="shared" si="30"/>
        <v>0</v>
      </c>
      <c r="V68" s="318">
        <f t="shared" si="30"/>
        <v>0</v>
      </c>
      <c r="W68" s="318">
        <f t="shared" ref="W68:X68" si="31">IF(AND(W15="0",W18="0",W19="0"),0,IF(AND(W15="L",W18="L",W19="L"),"NC",IF(W15="M",0,W15)-IF(W18="M",0,W18)-IF(W19="M",0,W19)))</f>
        <v>0</v>
      </c>
      <c r="X68" s="318">
        <f t="shared" si="31"/>
        <v>0</v>
      </c>
      <c r="Y68" s="363"/>
      <c r="Z68" s="198"/>
      <c r="AA68" s="29"/>
    </row>
    <row r="69" spans="3:27" ht="15.75">
      <c r="C69" s="516" t="s">
        <v>169</v>
      </c>
      <c r="D69" s="318">
        <f>IF(AND(D16="",D17=""),0,IF(AND(D16="L",D17="L"),"NC",IF(D15="M",0,D15)-IF(D16="M",0,D16)-IF(D17="M",0,D17)))</f>
        <v>0</v>
      </c>
      <c r="E69" s="318">
        <f t="shared" ref="E69:S69" si="32">IF(AND(E16="",E17=""),0,IF(AND(E16="L",E17="L"),"NC",IF(E15="M",0,E15)-IF(E16="M",0,E16)-IF(E17="M",0,E17)))</f>
        <v>0</v>
      </c>
      <c r="F69" s="318">
        <f t="shared" si="32"/>
        <v>0</v>
      </c>
      <c r="G69" s="318">
        <f t="shared" si="32"/>
        <v>0</v>
      </c>
      <c r="H69" s="318">
        <f t="shared" si="32"/>
        <v>0</v>
      </c>
      <c r="I69" s="318">
        <f t="shared" si="32"/>
        <v>0</v>
      </c>
      <c r="J69" s="318">
        <f t="shared" si="32"/>
        <v>0</v>
      </c>
      <c r="K69" s="318">
        <f t="shared" si="32"/>
        <v>0</v>
      </c>
      <c r="L69" s="318">
        <f t="shared" si="32"/>
        <v>0</v>
      </c>
      <c r="M69" s="318">
        <f t="shared" si="32"/>
        <v>0</v>
      </c>
      <c r="N69" s="318">
        <f t="shared" si="32"/>
        <v>0</v>
      </c>
      <c r="O69" s="318">
        <f t="shared" si="32"/>
        <v>0</v>
      </c>
      <c r="P69" s="318">
        <f t="shared" si="32"/>
        <v>0</v>
      </c>
      <c r="Q69" s="318">
        <f t="shared" si="32"/>
        <v>0</v>
      </c>
      <c r="R69" s="318">
        <f t="shared" si="32"/>
        <v>0</v>
      </c>
      <c r="S69" s="318">
        <f t="shared" si="32"/>
        <v>0</v>
      </c>
      <c r="T69" s="318">
        <f t="shared" ref="T69:V69" si="33">IF(AND(T16="",T17=""),0,IF(AND(T16="L",T17="L"),"NC",IF(T15="M",0,T15)-IF(T16="M",0,T16)-IF(T17="M",0,T17)))</f>
        <v>0</v>
      </c>
      <c r="U69" s="318">
        <f t="shared" si="33"/>
        <v>0</v>
      </c>
      <c r="V69" s="318">
        <f t="shared" si="33"/>
        <v>0</v>
      </c>
      <c r="W69" s="318">
        <f t="shared" ref="W69:X69" si="34">IF(AND(W16="",W17=""),0,IF(AND(W16="L",W17="L"),"NC",IF(W15="M",0,W15)-IF(W16="M",0,W16)-IF(W17="M",0,W17)))</f>
        <v>0</v>
      </c>
      <c r="X69" s="318">
        <f t="shared" si="34"/>
        <v>0</v>
      </c>
      <c r="Y69" s="363"/>
      <c r="Z69" s="198"/>
      <c r="AA69" s="29"/>
    </row>
    <row r="70" spans="3:27" ht="15.75">
      <c r="C70" s="516" t="s">
        <v>170</v>
      </c>
      <c r="D70" s="318">
        <f>IF(AND(D20="",D21=""),0,IF(AND(D20="L",D21="L"),"NC",IF(D19="M",0,D19)-IF(D20="M",0,D20)-IF(D21="M",0,D21)))</f>
        <v>0</v>
      </c>
      <c r="E70" s="318">
        <f t="shared" ref="E70:S70" si="35">IF(AND(E20="",E21=""),0,IF(AND(E20="L",E21="L"),"NC",IF(E19="M",0,E19)-IF(E20="M",0,E20)-IF(E21="M",0,E21)))</f>
        <v>0</v>
      </c>
      <c r="F70" s="318">
        <f t="shared" si="35"/>
        <v>0</v>
      </c>
      <c r="G70" s="318">
        <f t="shared" si="35"/>
        <v>0</v>
      </c>
      <c r="H70" s="318">
        <f t="shared" si="35"/>
        <v>0</v>
      </c>
      <c r="I70" s="318">
        <f t="shared" si="35"/>
        <v>0</v>
      </c>
      <c r="J70" s="318">
        <f t="shared" si="35"/>
        <v>0</v>
      </c>
      <c r="K70" s="318">
        <f t="shared" si="35"/>
        <v>0</v>
      </c>
      <c r="L70" s="318">
        <f t="shared" si="35"/>
        <v>0</v>
      </c>
      <c r="M70" s="318">
        <f t="shared" si="35"/>
        <v>0</v>
      </c>
      <c r="N70" s="318">
        <f t="shared" si="35"/>
        <v>0</v>
      </c>
      <c r="O70" s="318">
        <f t="shared" si="35"/>
        <v>0</v>
      </c>
      <c r="P70" s="318">
        <f t="shared" si="35"/>
        <v>0</v>
      </c>
      <c r="Q70" s="318">
        <f t="shared" si="35"/>
        <v>0</v>
      </c>
      <c r="R70" s="318">
        <f t="shared" si="35"/>
        <v>0</v>
      </c>
      <c r="S70" s="318">
        <f t="shared" si="35"/>
        <v>0</v>
      </c>
      <c r="T70" s="318">
        <f t="shared" ref="T70:V70" si="36">IF(AND(T20="",T21=""),0,IF(AND(T20="L",T21="L"),"NC",IF(T19="M",0,T19)-IF(T20="M",0,T20)-IF(T21="M",0,T21)))</f>
        <v>0</v>
      </c>
      <c r="U70" s="318">
        <f t="shared" si="36"/>
        <v>0</v>
      </c>
      <c r="V70" s="318">
        <f t="shared" si="36"/>
        <v>0</v>
      </c>
      <c r="W70" s="318">
        <f t="shared" ref="W70:X70" si="37">IF(AND(W20="",W21=""),0,IF(AND(W20="L",W21="L"),"NC",IF(W19="M",0,W19)-IF(W20="M",0,W20)-IF(W21="M",0,W21)))</f>
        <v>0</v>
      </c>
      <c r="X70" s="318">
        <f t="shared" si="37"/>
        <v>0</v>
      </c>
      <c r="Y70" s="363"/>
      <c r="Z70" s="198"/>
      <c r="AA70" s="29"/>
    </row>
    <row r="71" spans="3:27" ht="15.75">
      <c r="C71" s="516" t="s">
        <v>171</v>
      </c>
      <c r="D71" s="318">
        <f>IF(AND(D22="0",D23="0",D24="0"),0,IF(AND(D22="L",D23="L",D24="L"),"NC",IF(D22="M",0,D22)-IF(D23="M",0,D23)-IF(D24="M",0,D24)))</f>
        <v>0</v>
      </c>
      <c r="E71" s="318">
        <f t="shared" ref="E71:S71" si="38">IF(AND(E22="0",E23="0",E24="0"),0,IF(AND(E22="L",E23="L",E24="L"),"NC",IF(E22="M",0,E22)-IF(E23="M",0,E23)-IF(E24="M",0,E24)))</f>
        <v>0</v>
      </c>
      <c r="F71" s="318">
        <f t="shared" si="38"/>
        <v>0</v>
      </c>
      <c r="G71" s="318">
        <f t="shared" si="38"/>
        <v>0</v>
      </c>
      <c r="H71" s="318">
        <f t="shared" si="38"/>
        <v>0</v>
      </c>
      <c r="I71" s="318">
        <f t="shared" si="38"/>
        <v>0</v>
      </c>
      <c r="J71" s="318">
        <f t="shared" si="38"/>
        <v>0</v>
      </c>
      <c r="K71" s="318">
        <f t="shared" si="38"/>
        <v>0</v>
      </c>
      <c r="L71" s="318">
        <f t="shared" si="38"/>
        <v>0</v>
      </c>
      <c r="M71" s="318">
        <f t="shared" si="38"/>
        <v>0</v>
      </c>
      <c r="N71" s="318">
        <f t="shared" si="38"/>
        <v>0</v>
      </c>
      <c r="O71" s="318">
        <f t="shared" si="38"/>
        <v>0</v>
      </c>
      <c r="P71" s="318">
        <f t="shared" si="38"/>
        <v>0</v>
      </c>
      <c r="Q71" s="318">
        <f t="shared" si="38"/>
        <v>0</v>
      </c>
      <c r="R71" s="318">
        <f t="shared" si="38"/>
        <v>0</v>
      </c>
      <c r="S71" s="318">
        <f t="shared" si="38"/>
        <v>0</v>
      </c>
      <c r="T71" s="318">
        <f t="shared" ref="T71:V71" si="39">IF(AND(T22="0",T23="0",T24="0"),0,IF(AND(T22="L",T23="L",T24="L"),"NC",IF(T22="M",0,T22)-IF(T23="M",0,T23)-IF(T24="M",0,T24)))</f>
        <v>0</v>
      </c>
      <c r="U71" s="318">
        <f t="shared" si="39"/>
        <v>0</v>
      </c>
      <c r="V71" s="318">
        <f t="shared" si="39"/>
        <v>0</v>
      </c>
      <c r="W71" s="318">
        <f t="shared" ref="W71:X71" si="40">IF(AND(W22="0",W23="0",W24="0"),0,IF(AND(W22="L",W23="L",W24="L"),"NC",IF(W22="M",0,W22)-IF(W23="M",0,W23)-IF(W24="M",0,W24)))</f>
        <v>0</v>
      </c>
      <c r="X71" s="318">
        <f t="shared" si="40"/>
        <v>0</v>
      </c>
      <c r="Y71" s="363"/>
      <c r="Z71" s="198"/>
      <c r="AA71" s="29"/>
    </row>
    <row r="72" spans="3:27" ht="15.75">
      <c r="C72" s="516" t="s">
        <v>172</v>
      </c>
      <c r="D72" s="318">
        <f>IF(AND(D25="",D26=""),0,IF(AND(D25="L",D26="L"),"NC",IF(D24="M",0,D24)-IF(D25="M",0,D25)-IF(D26="M",0,D26)))</f>
        <v>0</v>
      </c>
      <c r="E72" s="318">
        <f t="shared" ref="E72:S72" si="41">IF(AND(E25="",E26=""),0,IF(AND(E25="L",E26="L"),"NC",IF(E24="M",0,E24)-IF(E25="M",0,E25)-IF(E26="M",0,E26)))</f>
        <v>0</v>
      </c>
      <c r="F72" s="318">
        <f t="shared" si="41"/>
        <v>0</v>
      </c>
      <c r="G72" s="318">
        <f t="shared" si="41"/>
        <v>0</v>
      </c>
      <c r="H72" s="318">
        <f t="shared" si="41"/>
        <v>0</v>
      </c>
      <c r="I72" s="318">
        <f t="shared" si="41"/>
        <v>0</v>
      </c>
      <c r="J72" s="318">
        <f t="shared" si="41"/>
        <v>0</v>
      </c>
      <c r="K72" s="318">
        <f t="shared" si="41"/>
        <v>0</v>
      </c>
      <c r="L72" s="318">
        <f t="shared" si="41"/>
        <v>0</v>
      </c>
      <c r="M72" s="318">
        <f t="shared" si="41"/>
        <v>0</v>
      </c>
      <c r="N72" s="318">
        <f t="shared" si="41"/>
        <v>0</v>
      </c>
      <c r="O72" s="318">
        <f t="shared" si="41"/>
        <v>0</v>
      </c>
      <c r="P72" s="318">
        <f t="shared" si="41"/>
        <v>0</v>
      </c>
      <c r="Q72" s="318">
        <f t="shared" si="41"/>
        <v>0</v>
      </c>
      <c r="R72" s="318">
        <f t="shared" si="41"/>
        <v>0</v>
      </c>
      <c r="S72" s="318">
        <f t="shared" si="41"/>
        <v>0</v>
      </c>
      <c r="T72" s="318">
        <f t="shared" ref="T72:V72" si="42">IF(AND(T25="",T26=""),0,IF(AND(T25="L",T26="L"),"NC",IF(T24="M",0,T24)-IF(T25="M",0,T25)-IF(T26="M",0,T26)))</f>
        <v>0</v>
      </c>
      <c r="U72" s="318">
        <f t="shared" si="42"/>
        <v>0</v>
      </c>
      <c r="V72" s="318">
        <f t="shared" si="42"/>
        <v>0</v>
      </c>
      <c r="W72" s="318">
        <f t="shared" ref="W72:X72" si="43">IF(AND(W25="",W26=""),0,IF(AND(W25="L",W26="L"),"NC",IF(W24="M",0,W24)-IF(W25="M",0,W25)-IF(W26="M",0,W26)))</f>
        <v>0</v>
      </c>
      <c r="X72" s="318">
        <f t="shared" si="43"/>
        <v>0</v>
      </c>
      <c r="Y72" s="363"/>
      <c r="Z72" s="198"/>
      <c r="AA72" s="29"/>
    </row>
    <row r="73" spans="3:27" ht="23.25">
      <c r="C73" s="317" t="s">
        <v>529</v>
      </c>
      <c r="D73" s="318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318">
        <f t="shared" ref="E73:S73" si="44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318">
        <f t="shared" si="44"/>
        <v>0</v>
      </c>
      <c r="G73" s="318">
        <f t="shared" si="44"/>
        <v>0</v>
      </c>
      <c r="H73" s="318">
        <f t="shared" si="44"/>
        <v>0</v>
      </c>
      <c r="I73" s="318">
        <f t="shared" si="44"/>
        <v>0</v>
      </c>
      <c r="J73" s="318">
        <f t="shared" si="44"/>
        <v>0</v>
      </c>
      <c r="K73" s="318">
        <f t="shared" si="44"/>
        <v>0</v>
      </c>
      <c r="L73" s="318">
        <f t="shared" si="44"/>
        <v>0</v>
      </c>
      <c r="M73" s="318">
        <f t="shared" si="44"/>
        <v>0</v>
      </c>
      <c r="N73" s="318">
        <f t="shared" si="44"/>
        <v>0</v>
      </c>
      <c r="O73" s="318">
        <f t="shared" si="44"/>
        <v>0</v>
      </c>
      <c r="P73" s="318">
        <f t="shared" si="44"/>
        <v>0</v>
      </c>
      <c r="Q73" s="318">
        <f t="shared" si="44"/>
        <v>0</v>
      </c>
      <c r="R73" s="318">
        <f t="shared" si="44"/>
        <v>0</v>
      </c>
      <c r="S73" s="318">
        <f t="shared" si="44"/>
        <v>0</v>
      </c>
      <c r="T73" s="318">
        <f t="shared" ref="T73:V73" si="45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318">
        <f t="shared" si="45"/>
        <v>0</v>
      </c>
      <c r="V73" s="318">
        <f t="shared" si="45"/>
        <v>0</v>
      </c>
      <c r="W73" s="318">
        <f t="shared" ref="W73:X73" si="46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0</v>
      </c>
      <c r="X73" s="318">
        <f t="shared" si="46"/>
        <v>0</v>
      </c>
      <c r="Y73" s="363"/>
      <c r="Z73" s="198"/>
      <c r="AA73" s="29"/>
    </row>
    <row r="74" spans="3:27" ht="15.75">
      <c r="C74" s="317" t="s">
        <v>173</v>
      </c>
      <c r="D74" s="318">
        <f>IF(AND(D44="0",D45="0",D46="0"),0,IF(AND(D44="L",D45="L",D46="L"),"NC",IF(D44="M",0,D44)-IF(D45="M",0,D45)-IF(D46="M",0,D46)))</f>
        <v>0</v>
      </c>
      <c r="E74" s="318">
        <f t="shared" ref="E74:S74" si="47">IF(AND(E44="0",E45="0",E46="0"),0,IF(AND(E44="L",E45="L",E46="L"),"NC",IF(E44="M",0,E44)-IF(E45="M",0,E45)-IF(E46="M",0,E46)))</f>
        <v>0</v>
      </c>
      <c r="F74" s="318">
        <f t="shared" si="47"/>
        <v>0</v>
      </c>
      <c r="G74" s="318">
        <f t="shared" si="47"/>
        <v>0</v>
      </c>
      <c r="H74" s="318">
        <f t="shared" si="47"/>
        <v>0</v>
      </c>
      <c r="I74" s="318">
        <f t="shared" si="47"/>
        <v>0</v>
      </c>
      <c r="J74" s="318">
        <f t="shared" si="47"/>
        <v>0</v>
      </c>
      <c r="K74" s="318">
        <f t="shared" si="47"/>
        <v>0</v>
      </c>
      <c r="L74" s="318">
        <f t="shared" si="47"/>
        <v>0</v>
      </c>
      <c r="M74" s="318">
        <f t="shared" si="47"/>
        <v>0</v>
      </c>
      <c r="N74" s="318">
        <f t="shared" si="47"/>
        <v>0</v>
      </c>
      <c r="O74" s="318">
        <f t="shared" si="47"/>
        <v>0</v>
      </c>
      <c r="P74" s="318">
        <f t="shared" si="47"/>
        <v>0</v>
      </c>
      <c r="Q74" s="318">
        <f t="shared" si="47"/>
        <v>0</v>
      </c>
      <c r="R74" s="318">
        <f t="shared" si="47"/>
        <v>0</v>
      </c>
      <c r="S74" s="318">
        <f t="shared" si="47"/>
        <v>0</v>
      </c>
      <c r="T74" s="318">
        <f t="shared" ref="T74:V74" si="48">IF(AND(T44="0",T45="0",T46="0"),0,IF(AND(T44="L",T45="L",T46="L"),"NC",IF(T44="M",0,T44)-IF(T45="M",0,T45)-IF(T46="M",0,T46)))</f>
        <v>0</v>
      </c>
      <c r="U74" s="318">
        <f t="shared" si="48"/>
        <v>0</v>
      </c>
      <c r="V74" s="318">
        <f t="shared" si="48"/>
        <v>0</v>
      </c>
      <c r="W74" s="318">
        <f t="shared" ref="W74:X74" si="49">IF(AND(W44="0",W45="0",W46="0"),0,IF(AND(W44="L",W45="L",W46="L"),"NC",IF(W44="M",0,W44)-IF(W45="M",0,W45)-IF(W46="M",0,W46)))</f>
        <v>0</v>
      </c>
      <c r="X74" s="318">
        <f t="shared" si="49"/>
        <v>0</v>
      </c>
      <c r="Y74" s="197"/>
      <c r="Z74" s="198"/>
    </row>
    <row r="75" spans="3:27" ht="15.75">
      <c r="C75" s="317" t="s">
        <v>142</v>
      </c>
      <c r="D75" s="318">
        <f>IF(AND(D51="0",D52="0",D53="0"),0,IF(AND(D51="L",D52="L",D53="L"),"NC",IF(D51="M",0,D51)-IF(D52="M",0,D52)+IF(D53="M",0,D53)))</f>
        <v>0</v>
      </c>
      <c r="E75" s="318">
        <f t="shared" ref="E75:S75" si="50">IF(AND(E51="0",E52="0",E53="0"),0,IF(AND(E51="L",E52="L",E53="L"),"NC",IF(E51="M",0,E51)-IF(E52="M",0,E52)+IF(E53="M",0,E53)))</f>
        <v>0</v>
      </c>
      <c r="F75" s="318">
        <f t="shared" si="50"/>
        <v>0</v>
      </c>
      <c r="G75" s="318">
        <f t="shared" si="50"/>
        <v>0</v>
      </c>
      <c r="H75" s="318">
        <f t="shared" si="50"/>
        <v>0</v>
      </c>
      <c r="I75" s="318">
        <f t="shared" si="50"/>
        <v>0</v>
      </c>
      <c r="J75" s="318">
        <f t="shared" si="50"/>
        <v>0</v>
      </c>
      <c r="K75" s="318">
        <f t="shared" si="50"/>
        <v>0</v>
      </c>
      <c r="L75" s="318">
        <f t="shared" si="50"/>
        <v>0</v>
      </c>
      <c r="M75" s="318">
        <f t="shared" si="50"/>
        <v>0</v>
      </c>
      <c r="N75" s="318">
        <f t="shared" si="50"/>
        <v>0</v>
      </c>
      <c r="O75" s="318">
        <f t="shared" si="50"/>
        <v>0</v>
      </c>
      <c r="P75" s="318">
        <f t="shared" si="50"/>
        <v>0</v>
      </c>
      <c r="Q75" s="318">
        <f t="shared" si="50"/>
        <v>0</v>
      </c>
      <c r="R75" s="318">
        <f t="shared" si="50"/>
        <v>0</v>
      </c>
      <c r="S75" s="318">
        <f t="shared" si="50"/>
        <v>0</v>
      </c>
      <c r="T75" s="318">
        <f t="shared" ref="T75:V75" si="51">IF(AND(T51="0",T52="0",T53="0"),0,IF(AND(T51="L",T52="L",T53="L"),"NC",IF(T51="M",0,T51)-IF(T52="M",0,T52)+IF(T53="M",0,T53)))</f>
        <v>0</v>
      </c>
      <c r="U75" s="318">
        <f t="shared" si="51"/>
        <v>0</v>
      </c>
      <c r="V75" s="318">
        <f t="shared" si="51"/>
        <v>0</v>
      </c>
      <c r="W75" s="318">
        <f t="shared" ref="W75:X75" si="52">IF(AND(W51="0",W52="0",W53="0"),0,IF(AND(W51="L",W52="L",W53="L"),"NC",IF(W51="M",0,W51)-IF(W52="M",0,W52)+IF(W53="M",0,W53)))</f>
        <v>0</v>
      </c>
      <c r="X75" s="318">
        <f t="shared" si="52"/>
        <v>0</v>
      </c>
      <c r="Y75" s="197"/>
      <c r="Z75" s="198"/>
    </row>
    <row r="76" spans="3:27" ht="15.75">
      <c r="C76" s="319" t="s">
        <v>127</v>
      </c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197"/>
      <c r="Z76" s="198"/>
    </row>
    <row r="77" spans="3:27" ht="15.75">
      <c r="C77" s="320" t="s">
        <v>174</v>
      </c>
      <c r="D77" s="203">
        <f>IF(AND('Table 1'!E12="0",D10="0"),0,IF(AND('Table 1'!E12="L",D10="L"),"NC",IF('Table 1'!E12="M",0,'Table 1'!E12)+IF(D10="M",0,D10)))</f>
        <v>0</v>
      </c>
      <c r="E77" s="203">
        <f>IF(AND('Table 1'!F12="0",E10="0"),0,IF(AND('Table 1'!F12="L",E10="L"),"NC",IF('Table 1'!F12="M",0,'Table 1'!F12)+IF(E10="M",0,E10)))</f>
        <v>0</v>
      </c>
      <c r="F77" s="203">
        <f>IF(AND('Table 1'!G12="0",F10="0"),0,IF(AND('Table 1'!G12="L",F10="L"),"NC",IF('Table 1'!G12="M",0,'Table 1'!G12)+IF(F10="M",0,F10)))</f>
        <v>0</v>
      </c>
      <c r="G77" s="203">
        <f>IF(AND('Table 1'!H12="0",G10="0"),0,IF(AND('Table 1'!H12="L",G10="L"),"NC",IF('Table 1'!H12="M",0,'Table 1'!H12)+IF(G10="M",0,G10)))</f>
        <v>0</v>
      </c>
      <c r="H77" s="203">
        <f>IF(AND('Table 1'!I12="0",H10="0"),0,IF(AND('Table 1'!I12="L",H10="L"),"NC",IF('Table 1'!I12="M",0,'Table 1'!I12)+IF(H10="M",0,H10)))</f>
        <v>0</v>
      </c>
      <c r="I77" s="203">
        <f>IF(AND('Table 1'!J12="0",I10="0"),0,IF(AND('Table 1'!J12="L",I10="L"),"NC",IF('Table 1'!J12="M",0,'Table 1'!J12)+IF(I10="M",0,I10)))</f>
        <v>0</v>
      </c>
      <c r="J77" s="203">
        <f>IF(AND('Table 1'!K12="0",J10="0"),0,IF(AND('Table 1'!K12="L",J10="L"),"NC",IF('Table 1'!K12="M",0,'Table 1'!K12)+IF(J10="M",0,J10)))</f>
        <v>0</v>
      </c>
      <c r="K77" s="203">
        <f>IF(AND('Table 1'!L12="0",K10="0"),0,IF(AND('Table 1'!L12="L",K10="L"),"NC",IF('Table 1'!L12="M",0,'Table 1'!L12)+IF(K10="M",0,K10)))</f>
        <v>0</v>
      </c>
      <c r="L77" s="203">
        <f>IF(AND('Table 1'!M12="0",L10="0"),0,IF(AND('Table 1'!M12="L",L10="L"),"NC",IF('Table 1'!M12="M",0,'Table 1'!M12)+IF(L10="M",0,L10)))</f>
        <v>0</v>
      </c>
      <c r="M77" s="203">
        <f>IF(AND('Table 1'!N12="0",M10="0"),0,IF(AND('Table 1'!N12="L",M10="L"),"NC",IF('Table 1'!N12="M",0,'Table 1'!N12)+IF(M10="M",0,M10)))</f>
        <v>0</v>
      </c>
      <c r="N77" s="203">
        <f>IF(AND('Table 1'!O12="0",N10="0"),0,IF(AND('Table 1'!O12="L",N10="L"),"NC",IF('Table 1'!O12="M",0,'Table 1'!O12)+IF(N10="M",0,N10)))</f>
        <v>0</v>
      </c>
      <c r="O77" s="203">
        <f>IF(AND('Table 1'!P12="0",O10="0"),0,IF(AND('Table 1'!P12="L",O10="L"),"NC",IF('Table 1'!P12="M",0,'Table 1'!P12)+IF(O10="M",0,O10)))</f>
        <v>0</v>
      </c>
      <c r="P77" s="203">
        <f>IF(AND('Table 1'!Q12="0",P10="0"),0,IF(AND('Table 1'!Q12="L",P10="L"),"NC",IF('Table 1'!Q12="M",0,'Table 1'!Q12)+IF(P10="M",0,P10)))</f>
        <v>0</v>
      </c>
      <c r="Q77" s="203">
        <f>IF(AND('Table 1'!R12="0",Q10="0"),0,IF(AND('Table 1'!R12="L",Q10="L"),"NC",IF('Table 1'!R12="M",0,'Table 1'!R12)+IF(Q10="M",0,Q10)))</f>
        <v>0</v>
      </c>
      <c r="R77" s="203">
        <f>IF(AND('Table 1'!S12="0",R10="0"),0,IF(AND('Table 1'!S12="L",R10="L"),"NC",IF('Table 1'!S12="M",0,'Table 1'!S12)+IF(R10="M",0,R10)))</f>
        <v>0</v>
      </c>
      <c r="S77" s="203">
        <f>IF(AND('Table 1'!T12="0",S10="0"),0,IF(AND('Table 1'!T12="L",S10="L"),"NC",IF('Table 1'!T12="M",0,'Table 1'!T12)+IF(S10="M",0,S10)))</f>
        <v>0</v>
      </c>
      <c r="T77" s="203">
        <f>IF(AND('Table 1'!U12="0",T10="0"),0,IF(AND('Table 1'!U12="L",T10="L"),"NC",IF('Table 1'!U12="M",0,'Table 1'!U12)+IF(T10="M",0,T10)))</f>
        <v>0</v>
      </c>
      <c r="U77" s="203">
        <f>IF(AND('Table 1'!V12="0",U10="0"),0,IF(AND('Table 1'!V12="L",U10="L"),"NC",IF('Table 1'!V12="M",0,'Table 1'!V12)+IF(U10="M",0,U10)))</f>
        <v>0</v>
      </c>
      <c r="V77" s="203">
        <f>IF(AND('Table 1'!W12="0",V10="0"),0,IF(AND('Table 1'!W12="L",V10="L"),"NC",IF('Table 1'!W12="M",0,'Table 1'!W12)+IF(V10="M",0,V10)))</f>
        <v>0</v>
      </c>
      <c r="W77" s="203">
        <f>IF(AND('Table 1'!X12="0",W10="0"),0,IF(AND('Table 1'!X12="L",W10="L"),"NC",IF('Table 1'!X12="M",0,'Table 1'!X12)+IF(W10="M",0,W10)))</f>
        <v>0</v>
      </c>
      <c r="X77" s="203">
        <f>IF(AND('Table 1'!Y12="0",X10="0"),0,IF(AND('Table 1'!Y12="L",X10="L"),"NC",IF('Table 1'!Y12="M",0,'Table 1'!Y12)+IF(X10="M",0,X10)))</f>
        <v>0</v>
      </c>
      <c r="Y77" s="321"/>
      <c r="Z77" s="322"/>
    </row>
  </sheetData>
  <sheetProtection algorithmName="SHA-512" hashValue="UkuFccWUg95D7KIULENQ3MwJxdTJEIU9LEANPInmZgLIKauWgHrJexso81ti/8iaIB5IUS7dkKEE7+qrYjNh/Q==" saltValue="tcTbO7ZBaHdIgw20yDIjMg==" spinCount="100000" sheet="1" objects="1" formatColumns="0" formatRows="0" insertHyperlinks="0"/>
  <mergeCells count="2">
    <mergeCell ref="D6:X6"/>
    <mergeCell ref="D64:X64"/>
  </mergeCells>
  <phoneticPr fontId="35" type="noConversion"/>
  <conditionalFormatting sqref="D10:X10 D13:X29 D32:X34 D36:X38 D40:X42 D44:X46 D48:X48 D51:X53">
    <cfRule type="cellIs" dxfId="7" priority="3" operator="equal">
      <formula>""</formula>
    </cfRule>
  </conditionalFormatting>
  <conditionalFormatting sqref="D64">
    <cfRule type="expression" dxfId="6" priority="185" stopIfTrue="1">
      <formula>COUNTA(D10:V10,D12:V29,D31:V34,D36:V38,D40:V42,D44:V46,D48:V48,D51:V53)/684*100&lt;&gt;100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BB77"/>
  <sheetViews>
    <sheetView showGridLines="0" defaultGridColor="0" topLeftCell="C1" colorId="22" zoomScale="85" zoomScaleNormal="85" zoomScaleSheetLayoutView="80" workbookViewId="0"/>
  </sheetViews>
  <sheetFormatPr defaultColWidth="9.77734375" defaultRowHeight="15"/>
  <cols>
    <col min="1" max="1" width="35" style="30" hidden="1" customWidth="1"/>
    <col min="2" max="2" width="39" style="20" customWidth="1"/>
    <col min="3" max="3" width="68" style="25" customWidth="1"/>
    <col min="4" max="24" width="13.33203125" style="10" customWidth="1"/>
    <col min="25" max="25" width="86.6640625" style="10" customWidth="1"/>
    <col min="26" max="26" width="5.33203125" style="10" customWidth="1"/>
    <col min="27" max="27" width="1" style="10" customWidth="1"/>
    <col min="28" max="28" width="0.5546875" style="10" customWidth="1"/>
    <col min="29" max="29" width="9.77734375" style="10"/>
    <col min="30" max="30" width="8.21875" style="10" customWidth="1"/>
    <col min="31" max="31" width="13.109375" style="10" customWidth="1"/>
    <col min="32" max="32" width="9.33203125" style="10" customWidth="1"/>
    <col min="33" max="53" width="9.77734375" style="10"/>
    <col min="54" max="54" width="9.77734375" style="283"/>
    <col min="55" max="16384" width="9.77734375" style="10"/>
  </cols>
  <sheetData>
    <row r="1" spans="1:54" ht="9.75" customHeight="1">
      <c r="A1" s="24"/>
      <c r="B1" s="24"/>
      <c r="C1" s="378"/>
      <c r="D1" s="19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26"/>
      <c r="Z1" s="26"/>
      <c r="AB1" s="13"/>
      <c r="AC1" s="219" t="s">
        <v>1014</v>
      </c>
      <c r="AD1" s="219">
        <v>3</v>
      </c>
      <c r="AE1" s="219">
        <v>4</v>
      </c>
      <c r="AF1" s="219">
        <v>5</v>
      </c>
      <c r="AG1" s="219">
        <v>6</v>
      </c>
      <c r="AH1" s="219">
        <f>AG1+1</f>
        <v>7</v>
      </c>
      <c r="AI1" s="219">
        <f t="shared" ref="AI1:AT1" si="0">AH1+1</f>
        <v>8</v>
      </c>
      <c r="AJ1" s="219">
        <f t="shared" si="0"/>
        <v>9</v>
      </c>
      <c r="AK1" s="219">
        <f t="shared" si="0"/>
        <v>10</v>
      </c>
      <c r="AL1" s="219">
        <f t="shared" si="0"/>
        <v>11</v>
      </c>
      <c r="AM1" s="219">
        <f t="shared" si="0"/>
        <v>12</v>
      </c>
      <c r="AN1" s="219">
        <f t="shared" si="0"/>
        <v>13</v>
      </c>
      <c r="AO1" s="219">
        <f t="shared" si="0"/>
        <v>14</v>
      </c>
      <c r="AP1" s="219">
        <f t="shared" si="0"/>
        <v>15</v>
      </c>
      <c r="AQ1" s="219">
        <f t="shared" si="0"/>
        <v>16</v>
      </c>
      <c r="AR1" s="219">
        <f t="shared" si="0"/>
        <v>17</v>
      </c>
      <c r="AS1" s="219">
        <f t="shared" si="0"/>
        <v>18</v>
      </c>
      <c r="AT1" s="219">
        <f t="shared" si="0"/>
        <v>19</v>
      </c>
    </row>
    <row r="2" spans="1:54" ht="18">
      <c r="B2" s="30" t="s">
        <v>35</v>
      </c>
      <c r="C2" s="293" t="s">
        <v>588</v>
      </c>
      <c r="D2" s="22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AB2" s="13"/>
      <c r="AC2" s="219">
        <f>IF($AC$1='Cover page'!$N$2,0,1)</f>
        <v>0</v>
      </c>
    </row>
    <row r="3" spans="1:54" ht="18">
      <c r="B3" s="30"/>
      <c r="C3" s="293" t="s">
        <v>59</v>
      </c>
      <c r="D3" s="22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AB3" s="13"/>
    </row>
    <row r="4" spans="1:54" ht="16.5" thickBot="1">
      <c r="B4" s="30"/>
      <c r="C4" s="344"/>
      <c r="D4" s="367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AB4" s="13"/>
    </row>
    <row r="5" spans="1:54" ht="16.5" thickTop="1">
      <c r="A5" s="157"/>
      <c r="B5" s="167"/>
      <c r="C5" s="296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40"/>
      <c r="Z5" s="41"/>
      <c r="AB5" s="13"/>
    </row>
    <row r="6" spans="1:54" ht="15.75">
      <c r="A6" s="151"/>
      <c r="B6" s="150"/>
      <c r="C6" s="224" t="str">
        <f>'Cover page'!E13</f>
        <v>Member State: Hungary</v>
      </c>
      <c r="D6" s="538" t="s">
        <v>2</v>
      </c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39"/>
      <c r="S6" s="539"/>
      <c r="T6" s="539"/>
      <c r="U6" s="539"/>
      <c r="V6" s="539"/>
      <c r="W6" s="539"/>
      <c r="X6" s="539"/>
      <c r="Y6" s="43"/>
      <c r="Z6" s="50"/>
    </row>
    <row r="7" spans="1:54" ht="15.75">
      <c r="A7" s="234"/>
      <c r="B7" s="327" t="s">
        <v>485</v>
      </c>
      <c r="C7" s="22" t="s">
        <v>1018</v>
      </c>
      <c r="D7" s="299">
        <f>'Table 1'!E5</f>
        <v>1995</v>
      </c>
      <c r="E7" s="299">
        <f>D7+1</f>
        <v>1996</v>
      </c>
      <c r="F7" s="299">
        <f t="shared" ref="F7:I7" si="1">E7+1</f>
        <v>1997</v>
      </c>
      <c r="G7" s="299">
        <f t="shared" si="1"/>
        <v>1998</v>
      </c>
      <c r="H7" s="299">
        <f t="shared" si="1"/>
        <v>1999</v>
      </c>
      <c r="I7" s="299">
        <f t="shared" si="1"/>
        <v>2000</v>
      </c>
      <c r="J7" s="299">
        <f t="shared" ref="J7" si="2">I7+1</f>
        <v>2001</v>
      </c>
      <c r="K7" s="299">
        <f t="shared" ref="K7" si="3">J7+1</f>
        <v>2002</v>
      </c>
      <c r="L7" s="299">
        <f t="shared" ref="L7" si="4">K7+1</f>
        <v>2003</v>
      </c>
      <c r="M7" s="299">
        <f t="shared" ref="M7" si="5">L7+1</f>
        <v>2004</v>
      </c>
      <c r="N7" s="299">
        <f t="shared" ref="N7" si="6">M7+1</f>
        <v>2005</v>
      </c>
      <c r="O7" s="299">
        <f t="shared" ref="O7" si="7">N7+1</f>
        <v>2006</v>
      </c>
      <c r="P7" s="299">
        <f t="shared" ref="P7" si="8">O7+1</f>
        <v>2007</v>
      </c>
      <c r="Q7" s="299">
        <f t="shared" ref="Q7" si="9">P7+1</f>
        <v>2008</v>
      </c>
      <c r="R7" s="299">
        <f t="shared" ref="R7" si="10">Q7+1</f>
        <v>2009</v>
      </c>
      <c r="S7" s="299">
        <f t="shared" ref="S7" si="11">R7+1</f>
        <v>2010</v>
      </c>
      <c r="T7" s="299">
        <f t="shared" ref="T7" si="12">S7+1</f>
        <v>2011</v>
      </c>
      <c r="U7" s="299">
        <f t="shared" ref="U7" si="13">T7+1</f>
        <v>2012</v>
      </c>
      <c r="V7" s="299">
        <f t="shared" ref="V7:X7" si="14">U7+1</f>
        <v>2013</v>
      </c>
      <c r="W7" s="299">
        <f t="shared" si="14"/>
        <v>2014</v>
      </c>
      <c r="X7" s="299">
        <f t="shared" si="14"/>
        <v>2015</v>
      </c>
      <c r="Y7" s="45"/>
      <c r="Z7" s="50"/>
    </row>
    <row r="8" spans="1:54" ht="15.75">
      <c r="A8" s="234"/>
      <c r="B8" s="288"/>
      <c r="C8" s="238" t="str">
        <f>'Cover page'!E14</f>
        <v>Date: 09/04/2020</v>
      </c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493"/>
      <c r="W8" s="493"/>
      <c r="X8" s="493"/>
      <c r="Y8" s="55"/>
      <c r="Z8" s="50"/>
    </row>
    <row r="9" spans="1:54" ht="10.5" customHeight="1" thickBot="1">
      <c r="A9" s="234"/>
      <c r="B9" s="289"/>
      <c r="C9" s="29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88"/>
      <c r="W9" s="488"/>
      <c r="X9" s="488"/>
      <c r="Y9" s="63"/>
      <c r="Z9" s="50"/>
    </row>
    <row r="10" spans="1:54" ht="17.25" thickTop="1" thickBot="1">
      <c r="A10" s="290" t="s">
        <v>376</v>
      </c>
      <c r="B10" s="414" t="s">
        <v>907</v>
      </c>
      <c r="C10" s="312" t="s">
        <v>571</v>
      </c>
      <c r="D10" s="86">
        <v>-7797</v>
      </c>
      <c r="E10" s="86">
        <v>-26976</v>
      </c>
      <c r="F10" s="86">
        <v>1808</v>
      </c>
      <c r="G10" s="86">
        <v>31033</v>
      </c>
      <c r="H10" s="86">
        <v>-252</v>
      </c>
      <c r="I10" s="86">
        <v>35845</v>
      </c>
      <c r="J10" s="86">
        <v>-17530</v>
      </c>
      <c r="K10" s="86">
        <v>149560</v>
      </c>
      <c r="L10" s="86">
        <v>29272</v>
      </c>
      <c r="M10" s="86">
        <v>58927</v>
      </c>
      <c r="N10" s="86">
        <v>120609.61538461538</v>
      </c>
      <c r="O10" s="86">
        <v>191665</v>
      </c>
      <c r="P10" s="86">
        <v>28761</v>
      </c>
      <c r="Q10" s="86">
        <v>-18346</v>
      </c>
      <c r="R10" s="86">
        <v>103345</v>
      </c>
      <c r="S10" s="86">
        <v>231019</v>
      </c>
      <c r="T10" s="86">
        <v>-169981</v>
      </c>
      <c r="U10" s="86">
        <v>-139700</v>
      </c>
      <c r="V10" s="87">
        <v>-751396</v>
      </c>
      <c r="W10" s="87">
        <v>-441853.82300000038</v>
      </c>
      <c r="X10" s="87">
        <v>-57546.035500000056</v>
      </c>
      <c r="Y10" s="4"/>
      <c r="Z10" s="50"/>
      <c r="BB10" s="283" t="str">
        <f>CountryCode &amp; ".T3.B9.S1313.MNAC." &amp; RefVintage</f>
        <v>HU.T3.B9.S1313.MNAC.W.2020</v>
      </c>
    </row>
    <row r="11" spans="1:54" ht="6" customHeight="1" thickTop="1">
      <c r="A11" s="290"/>
      <c r="B11" s="150"/>
      <c r="C11" s="352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88"/>
      <c r="X11" s="88"/>
      <c r="Y11" s="7"/>
      <c r="Z11" s="50"/>
    </row>
    <row r="12" spans="1:54" s="18" customFormat="1" ht="16.5" customHeight="1">
      <c r="A12" s="290" t="s">
        <v>377</v>
      </c>
      <c r="B12" s="414" t="s">
        <v>908</v>
      </c>
      <c r="C12" s="353" t="s">
        <v>93</v>
      </c>
      <c r="D12" s="213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290</v>
      </c>
      <c r="E12" s="213">
        <f t="shared" si="15"/>
        <v>39252</v>
      </c>
      <c r="F12" s="213">
        <f t="shared" si="15"/>
        <v>8669</v>
      </c>
      <c r="G12" s="213">
        <f t="shared" si="15"/>
        <v>3447</v>
      </c>
      <c r="H12" s="213">
        <f t="shared" si="15"/>
        <v>7229</v>
      </c>
      <c r="I12" s="213">
        <f t="shared" si="15"/>
        <v>20832</v>
      </c>
      <c r="J12" s="213">
        <f t="shared" si="15"/>
        <v>82370</v>
      </c>
      <c r="K12" s="213">
        <f t="shared" si="15"/>
        <v>-13338</v>
      </c>
      <c r="L12" s="213">
        <f t="shared" si="15"/>
        <v>-29153.999999999996</v>
      </c>
      <c r="M12" s="213">
        <f t="shared" si="15"/>
        <v>45818</v>
      </c>
      <c r="N12" s="213">
        <f t="shared" si="15"/>
        <v>-28798</v>
      </c>
      <c r="O12" s="213">
        <f t="shared" si="15"/>
        <v>-11153</v>
      </c>
      <c r="P12" s="213">
        <f t="shared" si="15"/>
        <v>122811</v>
      </c>
      <c r="Q12" s="213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177020</v>
      </c>
      <c r="R12" s="213">
        <f t="shared" si="16"/>
        <v>-63750</v>
      </c>
      <c r="S12" s="213">
        <f t="shared" si="16"/>
        <v>-160465</v>
      </c>
      <c r="T12" s="213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13395</v>
      </c>
      <c r="U12" s="213">
        <f t="shared" si="17"/>
        <v>26614</v>
      </c>
      <c r="V12" s="213">
        <f t="shared" si="17"/>
        <v>114328</v>
      </c>
      <c r="W12" s="213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15819</v>
      </c>
      <c r="X12" s="213">
        <f t="shared" si="18"/>
        <v>15840</v>
      </c>
      <c r="Y12" s="99"/>
      <c r="Z12" s="64"/>
      <c r="BB12" s="509" t="str">
        <f>CountryCode &amp; ".T3.FA.S1313.MNAC." &amp; RefVintage</f>
        <v>HU.T3.FA.S1313.MNAC.W.2020</v>
      </c>
    </row>
    <row r="13" spans="1:54" s="18" customFormat="1" ht="16.5" customHeight="1">
      <c r="A13" s="290" t="s">
        <v>378</v>
      </c>
      <c r="B13" s="414" t="s">
        <v>909</v>
      </c>
      <c r="C13" s="354" t="s">
        <v>61</v>
      </c>
      <c r="D13" s="100">
        <v>2949</v>
      </c>
      <c r="E13" s="100">
        <v>5722</v>
      </c>
      <c r="F13" s="100">
        <v>33170</v>
      </c>
      <c r="G13" s="100">
        <v>4354</v>
      </c>
      <c r="H13" s="100">
        <v>2594</v>
      </c>
      <c r="I13" s="100">
        <v>21829</v>
      </c>
      <c r="J13" s="100">
        <v>49599</v>
      </c>
      <c r="K13" s="100">
        <v>30019</v>
      </c>
      <c r="L13" s="100">
        <v>-7892</v>
      </c>
      <c r="M13" s="100">
        <v>31343</v>
      </c>
      <c r="N13" s="100">
        <v>195</v>
      </c>
      <c r="O13" s="100">
        <v>4120</v>
      </c>
      <c r="P13" s="100">
        <v>139628</v>
      </c>
      <c r="Q13" s="100">
        <v>155487</v>
      </c>
      <c r="R13" s="100">
        <v>-2598</v>
      </c>
      <c r="S13" s="100">
        <v>-165371</v>
      </c>
      <c r="T13" s="100">
        <v>12351</v>
      </c>
      <c r="U13" s="100">
        <v>20465</v>
      </c>
      <c r="V13" s="100">
        <v>77973</v>
      </c>
      <c r="W13" s="100">
        <v>62910</v>
      </c>
      <c r="X13" s="100">
        <v>24446</v>
      </c>
      <c r="Y13" s="99"/>
      <c r="Z13" s="64"/>
      <c r="BB13" s="509" t="str">
        <f>CountryCode &amp; ".T3.F2.S1313.MNAC." &amp; RefVintage</f>
        <v>HU.T3.F2.S1313.MNAC.W.2020</v>
      </c>
    </row>
    <row r="14" spans="1:54" s="18" customFormat="1" ht="16.5" customHeight="1">
      <c r="A14" s="290" t="s">
        <v>379</v>
      </c>
      <c r="B14" s="414" t="s">
        <v>910</v>
      </c>
      <c r="C14" s="354" t="s">
        <v>473</v>
      </c>
      <c r="D14" s="100">
        <v>8674</v>
      </c>
      <c r="E14" s="100">
        <v>21491</v>
      </c>
      <c r="F14" s="100">
        <v>46262</v>
      </c>
      <c r="G14" s="100">
        <v>5424</v>
      </c>
      <c r="H14" s="100">
        <v>9703</v>
      </c>
      <c r="I14" s="100">
        <v>3582.0000000000009</v>
      </c>
      <c r="J14" s="100">
        <v>16451</v>
      </c>
      <c r="K14" s="100">
        <v>-52732</v>
      </c>
      <c r="L14" s="100">
        <v>-20654.999999999996</v>
      </c>
      <c r="M14" s="100">
        <v>14405.000000000002</v>
      </c>
      <c r="N14" s="100">
        <v>-18494</v>
      </c>
      <c r="O14" s="100">
        <v>-9909</v>
      </c>
      <c r="P14" s="100">
        <v>8568.9999999999982</v>
      </c>
      <c r="Q14" s="100">
        <v>41348</v>
      </c>
      <c r="R14" s="100">
        <v>-65438</v>
      </c>
      <c r="S14" s="100">
        <v>-12024</v>
      </c>
      <c r="T14" s="100">
        <v>4262</v>
      </c>
      <c r="U14" s="100">
        <v>-2995</v>
      </c>
      <c r="V14" s="100">
        <v>2746</v>
      </c>
      <c r="W14" s="100">
        <v>-3461</v>
      </c>
      <c r="X14" s="100">
        <v>11997</v>
      </c>
      <c r="Y14" s="99"/>
      <c r="Z14" s="64"/>
      <c r="BB14" s="509" t="str">
        <f>CountryCode &amp; ".T3.F3.S1313.MNAC." &amp; RefVintage</f>
        <v>HU.T3.F3.S1313.MNAC.W.2020</v>
      </c>
    </row>
    <row r="15" spans="1:54" s="18" customFormat="1" ht="16.5" customHeight="1">
      <c r="A15" s="290" t="s">
        <v>380</v>
      </c>
      <c r="B15" s="414" t="s">
        <v>911</v>
      </c>
      <c r="C15" s="354" t="s">
        <v>36</v>
      </c>
      <c r="D15" s="100">
        <v>2224</v>
      </c>
      <c r="E15" s="100">
        <v>3051</v>
      </c>
      <c r="F15" s="100">
        <v>3895</v>
      </c>
      <c r="G15" s="100">
        <v>1567</v>
      </c>
      <c r="H15" s="100">
        <v>2906</v>
      </c>
      <c r="I15" s="100">
        <v>4362</v>
      </c>
      <c r="J15" s="100">
        <v>6565</v>
      </c>
      <c r="K15" s="100">
        <v>10657</v>
      </c>
      <c r="L15" s="100">
        <v>-376</v>
      </c>
      <c r="M15" s="100">
        <v>-2132</v>
      </c>
      <c r="N15" s="100">
        <v>-1686</v>
      </c>
      <c r="O15" s="100">
        <v>-632</v>
      </c>
      <c r="P15" s="100">
        <v>-1408</v>
      </c>
      <c r="Q15" s="100">
        <v>70</v>
      </c>
      <c r="R15" s="100">
        <v>25</v>
      </c>
      <c r="S15" s="100">
        <v>-428</v>
      </c>
      <c r="T15" s="100">
        <v>-5133</v>
      </c>
      <c r="U15" s="100">
        <v>13556</v>
      </c>
      <c r="V15" s="100">
        <v>124</v>
      </c>
      <c r="W15" s="100">
        <v>-11634</v>
      </c>
      <c r="X15" s="100">
        <v>-3621</v>
      </c>
      <c r="Y15" s="99"/>
      <c r="Z15" s="64"/>
      <c r="BB15" s="509" t="str">
        <f>CountryCode &amp; ".T3.F4.S1313.MNAC." &amp; RefVintage</f>
        <v>HU.T3.F4.S1313.MNAC.W.2020</v>
      </c>
    </row>
    <row r="16" spans="1:54" s="18" customFormat="1" ht="16.5" customHeight="1">
      <c r="A16" s="290" t="s">
        <v>381</v>
      </c>
      <c r="B16" s="414" t="s">
        <v>912</v>
      </c>
      <c r="C16" s="355" t="s">
        <v>55</v>
      </c>
      <c r="D16" s="101">
        <v>7000</v>
      </c>
      <c r="E16" s="102">
        <v>10000</v>
      </c>
      <c r="F16" s="102">
        <v>8000</v>
      </c>
      <c r="G16" s="102">
        <v>8000</v>
      </c>
      <c r="H16" s="102">
        <v>8200</v>
      </c>
      <c r="I16" s="102">
        <v>10600</v>
      </c>
      <c r="J16" s="102">
        <v>14681</v>
      </c>
      <c r="K16" s="102">
        <v>20000</v>
      </c>
      <c r="L16" s="102">
        <v>13643</v>
      </c>
      <c r="M16" s="102">
        <v>11809</v>
      </c>
      <c r="N16" s="102">
        <v>11935</v>
      </c>
      <c r="O16" s="102">
        <v>15300</v>
      </c>
      <c r="P16" s="102">
        <v>13605</v>
      </c>
      <c r="Q16" s="102">
        <v>12900</v>
      </c>
      <c r="R16" s="102">
        <v>9211</v>
      </c>
      <c r="S16" s="102">
        <v>10092.6</v>
      </c>
      <c r="T16" s="102">
        <v>10025.4</v>
      </c>
      <c r="U16" s="102">
        <v>24868.2</v>
      </c>
      <c r="V16" s="102">
        <v>16808</v>
      </c>
      <c r="W16" s="102">
        <v>15414</v>
      </c>
      <c r="X16" s="102">
        <v>29353.972999999998</v>
      </c>
      <c r="Y16" s="99"/>
      <c r="Z16" s="64"/>
      <c r="BB16" s="509" t="str">
        <f>CountryCode &amp; ".T3.F4ACQ.S1313.MNAC." &amp; RefVintage</f>
        <v>HU.T3.F4ACQ.S1313.MNAC.W.2020</v>
      </c>
    </row>
    <row r="17" spans="1:54" s="18" customFormat="1" ht="16.5" customHeight="1">
      <c r="A17" s="290" t="s">
        <v>382</v>
      </c>
      <c r="B17" s="414" t="s">
        <v>913</v>
      </c>
      <c r="C17" s="355" t="s">
        <v>56</v>
      </c>
      <c r="D17" s="103">
        <v>-4776</v>
      </c>
      <c r="E17" s="104">
        <v>-6949</v>
      </c>
      <c r="F17" s="104">
        <v>-4105</v>
      </c>
      <c r="G17" s="104">
        <v>-6433</v>
      </c>
      <c r="H17" s="104">
        <v>-5294</v>
      </c>
      <c r="I17" s="104">
        <v>-6238</v>
      </c>
      <c r="J17" s="104">
        <v>-8116</v>
      </c>
      <c r="K17" s="104">
        <v>-9343</v>
      </c>
      <c r="L17" s="104">
        <v>-14019</v>
      </c>
      <c r="M17" s="104">
        <v>-13941</v>
      </c>
      <c r="N17" s="104">
        <v>-13621</v>
      </c>
      <c r="O17" s="104">
        <v>-15932</v>
      </c>
      <c r="P17" s="104">
        <v>-15013</v>
      </c>
      <c r="Q17" s="104">
        <v>-12830</v>
      </c>
      <c r="R17" s="104">
        <v>-9186</v>
      </c>
      <c r="S17" s="104">
        <v>-10520.6</v>
      </c>
      <c r="T17" s="104">
        <v>-15158.4</v>
      </c>
      <c r="U17" s="104">
        <v>-11312.2</v>
      </c>
      <c r="V17" s="104">
        <v>-16684</v>
      </c>
      <c r="W17" s="104">
        <v>-27048</v>
      </c>
      <c r="X17" s="104">
        <v>-32974.972999999998</v>
      </c>
      <c r="Y17" s="99"/>
      <c r="Z17" s="64"/>
      <c r="BB17" s="509" t="str">
        <f>CountryCode &amp; ".T3.F4DIS.S1313.MNAC." &amp; RefVintage</f>
        <v>HU.T3.F4DIS.S1313.MNAC.W.2020</v>
      </c>
    </row>
    <row r="18" spans="1:54" s="18" customFormat="1" ht="16.5" customHeight="1">
      <c r="A18" s="290" t="s">
        <v>383</v>
      </c>
      <c r="B18" s="414" t="s">
        <v>914</v>
      </c>
      <c r="C18" s="356" t="s">
        <v>87</v>
      </c>
      <c r="D18" s="100">
        <v>0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0</v>
      </c>
      <c r="W18" s="100">
        <v>0</v>
      </c>
      <c r="X18" s="100">
        <v>0</v>
      </c>
      <c r="Y18" s="99"/>
      <c r="Z18" s="64"/>
      <c r="BB18" s="509" t="str">
        <f>CountryCode &amp; ".T3.F41.S1313.MNAC." &amp; RefVintage</f>
        <v>HU.T3.F41.S1313.MNAC.W.2020</v>
      </c>
    </row>
    <row r="19" spans="1:54" s="18" customFormat="1" ht="16.5" customHeight="1">
      <c r="A19" s="290" t="s">
        <v>384</v>
      </c>
      <c r="B19" s="414" t="s">
        <v>915</v>
      </c>
      <c r="C19" s="356" t="s">
        <v>82</v>
      </c>
      <c r="D19" s="100">
        <v>2224</v>
      </c>
      <c r="E19" s="100">
        <v>3051</v>
      </c>
      <c r="F19" s="100">
        <v>3895</v>
      </c>
      <c r="G19" s="100">
        <v>1567</v>
      </c>
      <c r="H19" s="100">
        <v>2906</v>
      </c>
      <c r="I19" s="100">
        <v>4362</v>
      </c>
      <c r="J19" s="100">
        <v>6565</v>
      </c>
      <c r="K19" s="100">
        <v>10657</v>
      </c>
      <c r="L19" s="100">
        <v>-376</v>
      </c>
      <c r="M19" s="100">
        <v>-2132</v>
      </c>
      <c r="N19" s="100">
        <v>-1686</v>
      </c>
      <c r="O19" s="100">
        <v>-632</v>
      </c>
      <c r="P19" s="100">
        <v>-1408</v>
      </c>
      <c r="Q19" s="100">
        <v>70</v>
      </c>
      <c r="R19" s="100">
        <v>25</v>
      </c>
      <c r="S19" s="100">
        <v>-428</v>
      </c>
      <c r="T19" s="100">
        <v>-5133</v>
      </c>
      <c r="U19" s="100">
        <v>13556</v>
      </c>
      <c r="V19" s="100">
        <v>124</v>
      </c>
      <c r="W19" s="100">
        <v>-11634</v>
      </c>
      <c r="X19" s="100">
        <v>-3621</v>
      </c>
      <c r="Y19" s="99"/>
      <c r="Z19" s="64"/>
      <c r="BB19" s="509" t="str">
        <f>CountryCode &amp; ".T3.F42.S1313.MNAC." &amp; RefVintage</f>
        <v>HU.T3.F42.S1313.MNAC.W.2020</v>
      </c>
    </row>
    <row r="20" spans="1:54" s="18" customFormat="1" ht="16.5" customHeight="1">
      <c r="A20" s="290" t="s">
        <v>385</v>
      </c>
      <c r="B20" s="414" t="s">
        <v>916</v>
      </c>
      <c r="C20" s="357" t="s">
        <v>78</v>
      </c>
      <c r="D20" s="105">
        <v>7000</v>
      </c>
      <c r="E20" s="106">
        <v>10000</v>
      </c>
      <c r="F20" s="106">
        <v>8000</v>
      </c>
      <c r="G20" s="106">
        <v>8000</v>
      </c>
      <c r="H20" s="106">
        <v>8200</v>
      </c>
      <c r="I20" s="106">
        <v>10600</v>
      </c>
      <c r="J20" s="106">
        <v>14681</v>
      </c>
      <c r="K20" s="106">
        <v>20000</v>
      </c>
      <c r="L20" s="106">
        <v>13643</v>
      </c>
      <c r="M20" s="106">
        <v>11809</v>
      </c>
      <c r="N20" s="106">
        <v>11935</v>
      </c>
      <c r="O20" s="106">
        <v>15300</v>
      </c>
      <c r="P20" s="106">
        <v>13605</v>
      </c>
      <c r="Q20" s="106">
        <v>12900</v>
      </c>
      <c r="R20" s="106">
        <v>9211</v>
      </c>
      <c r="S20" s="106">
        <v>10092.6</v>
      </c>
      <c r="T20" s="106">
        <v>10025.4</v>
      </c>
      <c r="U20" s="106">
        <v>24868.2</v>
      </c>
      <c r="V20" s="106">
        <v>16808</v>
      </c>
      <c r="W20" s="106">
        <v>15414</v>
      </c>
      <c r="X20" s="106">
        <v>29353.972999999998</v>
      </c>
      <c r="Y20" s="99"/>
      <c r="Z20" s="64"/>
      <c r="BB20" s="509" t="str">
        <f>CountryCode &amp; ".T3.F42ACQ.S1313.MNAC." &amp; RefVintage</f>
        <v>HU.T3.F42ACQ.S1313.MNAC.W.2020</v>
      </c>
    </row>
    <row r="21" spans="1:54" s="18" customFormat="1" ht="16.5" customHeight="1">
      <c r="A21" s="290" t="s">
        <v>386</v>
      </c>
      <c r="B21" s="414" t="s">
        <v>917</v>
      </c>
      <c r="C21" s="357" t="s">
        <v>79</v>
      </c>
      <c r="D21" s="107">
        <v>-4776</v>
      </c>
      <c r="E21" s="108">
        <v>-6949</v>
      </c>
      <c r="F21" s="108">
        <v>-4105</v>
      </c>
      <c r="G21" s="108">
        <v>-6433</v>
      </c>
      <c r="H21" s="108">
        <v>-5294</v>
      </c>
      <c r="I21" s="108">
        <v>-6238</v>
      </c>
      <c r="J21" s="108">
        <v>-8116</v>
      </c>
      <c r="K21" s="108">
        <v>-9343</v>
      </c>
      <c r="L21" s="108">
        <v>-14019</v>
      </c>
      <c r="M21" s="108">
        <v>-13941</v>
      </c>
      <c r="N21" s="108">
        <v>-13621</v>
      </c>
      <c r="O21" s="108">
        <v>-15932</v>
      </c>
      <c r="P21" s="108">
        <v>-15013</v>
      </c>
      <c r="Q21" s="108">
        <v>-12830</v>
      </c>
      <c r="R21" s="108">
        <v>-9186</v>
      </c>
      <c r="S21" s="108">
        <v>-10520.6</v>
      </c>
      <c r="T21" s="108">
        <v>-15158.4</v>
      </c>
      <c r="U21" s="108">
        <v>-11312.2</v>
      </c>
      <c r="V21" s="108">
        <v>-16684</v>
      </c>
      <c r="W21" s="108">
        <v>-27048</v>
      </c>
      <c r="X21" s="108">
        <v>-32974.972999999998</v>
      </c>
      <c r="Y21" s="99"/>
      <c r="Z21" s="64"/>
      <c r="BB21" s="509" t="str">
        <f>CountryCode &amp; ".T3.F42DIS.S1313.MNAC." &amp; RefVintage</f>
        <v>HU.T3.F42DIS.S1313.MNAC.W.2020</v>
      </c>
    </row>
    <row r="22" spans="1:54" s="18" customFormat="1" ht="16.5" customHeight="1">
      <c r="A22" s="290" t="s">
        <v>387</v>
      </c>
      <c r="B22" s="414" t="s">
        <v>918</v>
      </c>
      <c r="C22" s="354" t="s">
        <v>474</v>
      </c>
      <c r="D22" s="100">
        <v>-16696</v>
      </c>
      <c r="E22" s="100">
        <v>6117</v>
      </c>
      <c r="F22" s="100">
        <v>-75875</v>
      </c>
      <c r="G22" s="100">
        <v>-9145</v>
      </c>
      <c r="H22" s="100">
        <v>-10847</v>
      </c>
      <c r="I22" s="100">
        <v>-11990</v>
      </c>
      <c r="J22" s="100">
        <v>11596</v>
      </c>
      <c r="K22" s="100">
        <v>2969</v>
      </c>
      <c r="L22" s="100">
        <v>-2681</v>
      </c>
      <c r="M22" s="100">
        <v>-477</v>
      </c>
      <c r="N22" s="100">
        <v>-11039</v>
      </c>
      <c r="O22" s="100">
        <v>-12326</v>
      </c>
      <c r="P22" s="100">
        <v>-20989</v>
      </c>
      <c r="Q22" s="100">
        <v>-18835</v>
      </c>
      <c r="R22" s="100">
        <v>3285</v>
      </c>
      <c r="S22" s="100">
        <v>-20</v>
      </c>
      <c r="T22" s="100">
        <v>257</v>
      </c>
      <c r="U22" s="100">
        <v>4805</v>
      </c>
      <c r="V22" s="100">
        <v>9921</v>
      </c>
      <c r="W22" s="100">
        <v>-42022</v>
      </c>
      <c r="X22" s="100">
        <v>-1068</v>
      </c>
      <c r="Y22" s="99"/>
      <c r="Z22" s="64"/>
      <c r="BB22" s="509" t="str">
        <f>CountryCode &amp; ".T3.F5.S1313.MNAC." &amp; RefVintage</f>
        <v>HU.T3.F5.S1313.MNAC.W.2020</v>
      </c>
    </row>
    <row r="23" spans="1:54" s="18" customFormat="1" ht="16.5" customHeight="1">
      <c r="A23" s="290" t="s">
        <v>388</v>
      </c>
      <c r="B23" s="414" t="s">
        <v>919</v>
      </c>
      <c r="C23" s="356" t="s">
        <v>94</v>
      </c>
      <c r="D23" s="100">
        <v>0</v>
      </c>
      <c r="E23" s="100">
        <v>2090</v>
      </c>
      <c r="F23" s="100">
        <v>432</v>
      </c>
      <c r="G23" s="100">
        <v>1797</v>
      </c>
      <c r="H23" s="100">
        <v>1281</v>
      </c>
      <c r="I23" s="100">
        <v>3766</v>
      </c>
      <c r="J23" s="100">
        <v>6895</v>
      </c>
      <c r="K23" s="100">
        <v>-432</v>
      </c>
      <c r="L23" s="100">
        <v>-1554</v>
      </c>
      <c r="M23" s="100">
        <v>2222</v>
      </c>
      <c r="N23" s="100">
        <v>-1219</v>
      </c>
      <c r="O23" s="100">
        <v>-5765</v>
      </c>
      <c r="P23" s="100">
        <v>2659</v>
      </c>
      <c r="Q23" s="100">
        <v>-2944</v>
      </c>
      <c r="R23" s="100">
        <v>466</v>
      </c>
      <c r="S23" s="100">
        <v>-1543</v>
      </c>
      <c r="T23" s="100">
        <v>-2350</v>
      </c>
      <c r="U23" s="100">
        <v>163.99999999999997</v>
      </c>
      <c r="V23" s="100">
        <v>1608</v>
      </c>
      <c r="W23" s="100">
        <v>-164.00000000000003</v>
      </c>
      <c r="X23" s="100">
        <v>-115.99999999999999</v>
      </c>
      <c r="Y23" s="99"/>
      <c r="Z23" s="64"/>
      <c r="BB23" s="509" t="str">
        <f>CountryCode &amp; ".T3.F5PN.S1313.MNAC." &amp; RefVintage</f>
        <v>HU.T3.F5PN.S1313.MNAC.W.2020</v>
      </c>
    </row>
    <row r="24" spans="1:54" s="18" customFormat="1" ht="16.5" customHeight="1">
      <c r="A24" s="290" t="s">
        <v>389</v>
      </c>
      <c r="B24" s="414" t="s">
        <v>920</v>
      </c>
      <c r="C24" s="356" t="s">
        <v>475</v>
      </c>
      <c r="D24" s="100">
        <v>-16696</v>
      </c>
      <c r="E24" s="100">
        <v>4027</v>
      </c>
      <c r="F24" s="100">
        <v>-76307</v>
      </c>
      <c r="G24" s="100">
        <v>-10942</v>
      </c>
      <c r="H24" s="100">
        <v>-12128</v>
      </c>
      <c r="I24" s="100">
        <v>-15756</v>
      </c>
      <c r="J24" s="100">
        <v>4701</v>
      </c>
      <c r="K24" s="100">
        <v>3401</v>
      </c>
      <c r="L24" s="100">
        <v>-1127</v>
      </c>
      <c r="M24" s="100">
        <v>-2699</v>
      </c>
      <c r="N24" s="100">
        <v>-9820</v>
      </c>
      <c r="O24" s="100">
        <v>-6561</v>
      </c>
      <c r="P24" s="100">
        <v>-23648</v>
      </c>
      <c r="Q24" s="100">
        <v>-15891</v>
      </c>
      <c r="R24" s="100">
        <v>2819</v>
      </c>
      <c r="S24" s="100">
        <v>1523</v>
      </c>
      <c r="T24" s="100">
        <v>2607</v>
      </c>
      <c r="U24" s="100">
        <v>4641</v>
      </c>
      <c r="V24" s="100">
        <v>8313</v>
      </c>
      <c r="W24" s="100">
        <v>-41858</v>
      </c>
      <c r="X24" s="100">
        <v>-952</v>
      </c>
      <c r="Y24" s="99"/>
      <c r="Z24" s="64"/>
      <c r="BB24" s="509" t="str">
        <f>CountryCode &amp; ".T3.F5OP.S1313.MNAC." &amp; RefVintage</f>
        <v>HU.T3.F5OP.S1313.MNAC.W.2020</v>
      </c>
    </row>
    <row r="25" spans="1:54" s="18" customFormat="1" ht="16.5" customHeight="1">
      <c r="A25" s="290" t="s">
        <v>390</v>
      </c>
      <c r="B25" s="414" t="s">
        <v>921</v>
      </c>
      <c r="C25" s="357" t="s">
        <v>83</v>
      </c>
      <c r="D25" s="109">
        <v>3115</v>
      </c>
      <c r="E25" s="110">
        <v>28346</v>
      </c>
      <c r="F25" s="110">
        <v>4600</v>
      </c>
      <c r="G25" s="110">
        <v>4700</v>
      </c>
      <c r="H25" s="110">
        <v>5500</v>
      </c>
      <c r="I25" s="110">
        <v>8800</v>
      </c>
      <c r="J25" s="110">
        <v>12200</v>
      </c>
      <c r="K25" s="110">
        <v>11900</v>
      </c>
      <c r="L25" s="110">
        <v>6600</v>
      </c>
      <c r="M25" s="110">
        <v>6700</v>
      </c>
      <c r="N25" s="110">
        <v>5800</v>
      </c>
      <c r="O25" s="110">
        <v>8600</v>
      </c>
      <c r="P25" s="110">
        <v>5894</v>
      </c>
      <c r="Q25" s="110">
        <v>8390</v>
      </c>
      <c r="R25" s="110">
        <v>7150.5</v>
      </c>
      <c r="S25" s="110">
        <v>8499.2336099999993</v>
      </c>
      <c r="T25" s="110">
        <v>4967.0441099999998</v>
      </c>
      <c r="U25" s="110">
        <v>6258.2738400000007</v>
      </c>
      <c r="V25" s="110">
        <v>9926.8178700000008</v>
      </c>
      <c r="W25" s="110">
        <v>3831.5722100000003</v>
      </c>
      <c r="X25" s="110">
        <v>2413.8045000000002</v>
      </c>
      <c r="Y25" s="99"/>
      <c r="Z25" s="64"/>
      <c r="BB25" s="509" t="str">
        <f>CountryCode &amp; ".T3.F5OPACQ.S1313.MNAC." &amp; RefVintage</f>
        <v>HU.T3.F5OPACQ.S1313.MNAC.W.2020</v>
      </c>
    </row>
    <row r="26" spans="1:54" s="18" customFormat="1" ht="16.5" customHeight="1" thickBot="1">
      <c r="A26" s="290" t="s">
        <v>391</v>
      </c>
      <c r="B26" s="414" t="s">
        <v>922</v>
      </c>
      <c r="C26" s="357" t="s">
        <v>84</v>
      </c>
      <c r="D26" s="109">
        <v>-19811</v>
      </c>
      <c r="E26" s="110">
        <v>-24319</v>
      </c>
      <c r="F26" s="110">
        <v>-80907</v>
      </c>
      <c r="G26" s="110">
        <v>-15642</v>
      </c>
      <c r="H26" s="110">
        <v>-17628</v>
      </c>
      <c r="I26" s="110">
        <v>-24556</v>
      </c>
      <c r="J26" s="110">
        <v>-7499</v>
      </c>
      <c r="K26" s="110">
        <v>-8499</v>
      </c>
      <c r="L26" s="110">
        <v>-7727</v>
      </c>
      <c r="M26" s="110">
        <v>-9399</v>
      </c>
      <c r="N26" s="110">
        <v>-15620</v>
      </c>
      <c r="O26" s="110">
        <v>-15161</v>
      </c>
      <c r="P26" s="110">
        <v>-29542</v>
      </c>
      <c r="Q26" s="110">
        <v>-24281</v>
      </c>
      <c r="R26" s="110">
        <v>-4331.5</v>
      </c>
      <c r="S26" s="110">
        <v>-6976.2336099999993</v>
      </c>
      <c r="T26" s="110">
        <v>-2360.0441099999998</v>
      </c>
      <c r="U26" s="110">
        <v>-1617.2738400000007</v>
      </c>
      <c r="V26" s="110">
        <v>-1613.8178700000008</v>
      </c>
      <c r="W26" s="110">
        <v>-45689.572209999998</v>
      </c>
      <c r="X26" s="110">
        <v>-3365.8045000000002</v>
      </c>
      <c r="Y26" s="99"/>
      <c r="Z26" s="64"/>
      <c r="BB26" s="509" t="str">
        <f>CountryCode &amp; ".T3.F5OPDIS.S1313.MNAC." &amp; RefVintage</f>
        <v>HU.T3.F5OPDIS.S1313.MNAC.W.2020</v>
      </c>
    </row>
    <row r="27" spans="1:54" s="18" customFormat="1" ht="16.5" customHeight="1">
      <c r="A27" s="347" t="s">
        <v>496</v>
      </c>
      <c r="B27" s="414" t="s">
        <v>923</v>
      </c>
      <c r="C27" s="354" t="s">
        <v>460</v>
      </c>
      <c r="D27" s="136">
        <v>0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36">
        <v>0</v>
      </c>
      <c r="T27" s="136">
        <v>0</v>
      </c>
      <c r="U27" s="136">
        <v>0</v>
      </c>
      <c r="V27" s="136">
        <v>0</v>
      </c>
      <c r="W27" s="136">
        <v>0</v>
      </c>
      <c r="X27" s="136">
        <v>0</v>
      </c>
      <c r="Y27" s="99"/>
      <c r="Z27" s="64"/>
      <c r="BB27" s="509" t="str">
        <f>CountryCode &amp; ".T3.F71.S1313.MNAC." &amp; RefVintage</f>
        <v>HU.T3.F71.S1313.MNAC.W.2020</v>
      </c>
    </row>
    <row r="28" spans="1:54" s="18" customFormat="1" ht="16.5" customHeight="1" thickBot="1">
      <c r="A28" s="348" t="s">
        <v>497</v>
      </c>
      <c r="B28" s="414" t="s">
        <v>924</v>
      </c>
      <c r="C28" s="354" t="s">
        <v>462</v>
      </c>
      <c r="D28" s="136">
        <v>3093</v>
      </c>
      <c r="E28" s="136">
        <v>2834</v>
      </c>
      <c r="F28" s="136">
        <v>1180</v>
      </c>
      <c r="G28" s="136">
        <v>1176</v>
      </c>
      <c r="H28" s="136">
        <v>2870</v>
      </c>
      <c r="I28" s="136">
        <v>3024</v>
      </c>
      <c r="J28" s="136">
        <v>-1907</v>
      </c>
      <c r="K28" s="136">
        <v>-4312</v>
      </c>
      <c r="L28" s="136">
        <v>2382</v>
      </c>
      <c r="M28" s="136">
        <v>2426</v>
      </c>
      <c r="N28" s="136">
        <v>1884</v>
      </c>
      <c r="O28" s="136">
        <v>7587</v>
      </c>
      <c r="P28" s="136">
        <v>-2899</v>
      </c>
      <c r="Q28" s="136">
        <v>-1088</v>
      </c>
      <c r="R28" s="136">
        <v>983</v>
      </c>
      <c r="S28" s="136">
        <v>17452</v>
      </c>
      <c r="T28" s="136">
        <v>1694</v>
      </c>
      <c r="U28" s="136">
        <v>-9312</v>
      </c>
      <c r="V28" s="136">
        <v>23769</v>
      </c>
      <c r="W28" s="136">
        <v>10063</v>
      </c>
      <c r="X28" s="136">
        <v>-15891</v>
      </c>
      <c r="Y28" s="99"/>
      <c r="Z28" s="64"/>
      <c r="BB28" s="509" t="str">
        <f>CountryCode &amp; ".T3.F8.S1313.MNAC." &amp; RefVintage</f>
        <v>HU.T3.F8.S1313.MNAC.W.2020</v>
      </c>
    </row>
    <row r="29" spans="1:54" s="18" customFormat="1" ht="16.5" customHeight="1">
      <c r="A29" s="290" t="s">
        <v>392</v>
      </c>
      <c r="B29" s="414" t="s">
        <v>925</v>
      </c>
      <c r="C29" s="354" t="s">
        <v>465</v>
      </c>
      <c r="D29" s="136">
        <v>46</v>
      </c>
      <c r="E29" s="136">
        <v>37</v>
      </c>
      <c r="F29" s="136">
        <v>37</v>
      </c>
      <c r="G29" s="136">
        <v>71</v>
      </c>
      <c r="H29" s="136">
        <v>3</v>
      </c>
      <c r="I29" s="136">
        <v>25</v>
      </c>
      <c r="J29" s="136">
        <v>66</v>
      </c>
      <c r="K29" s="136">
        <v>61</v>
      </c>
      <c r="L29" s="136">
        <v>68</v>
      </c>
      <c r="M29" s="136">
        <v>253</v>
      </c>
      <c r="N29" s="136">
        <v>342</v>
      </c>
      <c r="O29" s="136">
        <v>7</v>
      </c>
      <c r="P29" s="136">
        <v>-90</v>
      </c>
      <c r="Q29" s="136">
        <v>38</v>
      </c>
      <c r="R29" s="136">
        <v>-7</v>
      </c>
      <c r="S29" s="136">
        <v>-74</v>
      </c>
      <c r="T29" s="136">
        <v>-36</v>
      </c>
      <c r="U29" s="136">
        <v>95</v>
      </c>
      <c r="V29" s="136">
        <v>-205</v>
      </c>
      <c r="W29" s="136">
        <v>-37</v>
      </c>
      <c r="X29" s="136">
        <v>-23</v>
      </c>
      <c r="Y29" s="99"/>
      <c r="Z29" s="64"/>
      <c r="BB29" s="509" t="str">
        <f>CountryCode &amp; ".T3.OFA.S1313.MNAC." &amp; RefVintage</f>
        <v>HU.T3.OFA.S1313.MNAC.W.2020</v>
      </c>
    </row>
    <row r="30" spans="1:54" s="18" customFormat="1" ht="16.5" customHeight="1">
      <c r="A30" s="290"/>
      <c r="B30" s="150"/>
      <c r="C30" s="358"/>
      <c r="D30" s="111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4"/>
      <c r="X30" s="114"/>
      <c r="Y30" s="99"/>
      <c r="Z30" s="64"/>
      <c r="BB30" s="509"/>
    </row>
    <row r="31" spans="1:54" s="18" customFormat="1" ht="16.5" customHeight="1">
      <c r="A31" s="290" t="s">
        <v>393</v>
      </c>
      <c r="B31" s="414" t="s">
        <v>926</v>
      </c>
      <c r="C31" s="359" t="s">
        <v>183</v>
      </c>
      <c r="D31" s="362">
        <f t="shared" ref="D31:P31" si="19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-11017.000000000002</v>
      </c>
      <c r="E31" s="362">
        <f t="shared" si="19"/>
        <v>-8576</v>
      </c>
      <c r="F31" s="362">
        <f t="shared" si="19"/>
        <v>-29369</v>
      </c>
      <c r="G31" s="362">
        <f t="shared" si="19"/>
        <v>-13748</v>
      </c>
      <c r="H31" s="362">
        <f t="shared" si="19"/>
        <v>11949.000000000002</v>
      </c>
      <c r="I31" s="362">
        <f t="shared" si="19"/>
        <v>-19409.999999999985</v>
      </c>
      <c r="J31" s="362">
        <f t="shared" si="19"/>
        <v>-21290</v>
      </c>
      <c r="K31" s="362">
        <f t="shared" si="19"/>
        <v>-19969.000000000029</v>
      </c>
      <c r="L31" s="362">
        <f t="shared" si="19"/>
        <v>-2700.0000000000291</v>
      </c>
      <c r="M31" s="362">
        <f t="shared" si="19"/>
        <v>-55922</v>
      </c>
      <c r="N31" s="362">
        <f t="shared" si="19"/>
        <v>-51482.999999999942</v>
      </c>
      <c r="O31" s="362">
        <f t="shared" si="19"/>
        <v>-37661</v>
      </c>
      <c r="P31" s="362">
        <f t="shared" si="19"/>
        <v>60273.000000000029</v>
      </c>
      <c r="Q31" s="362">
        <f t="shared" ref="Q31:S31" si="20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124850.99999999988</v>
      </c>
      <c r="R31" s="362">
        <f t="shared" si="20"/>
        <v>-25879.999999999884</v>
      </c>
      <c r="S31" s="362">
        <f t="shared" si="20"/>
        <v>87265</v>
      </c>
      <c r="T31" s="362">
        <f t="shared" ref="T31:V31" si="21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81129.999999999913</v>
      </c>
      <c r="U31" s="362">
        <f t="shared" si="21"/>
        <v>-15774.999999999971</v>
      </c>
      <c r="V31" s="362">
        <f t="shared" si="21"/>
        <v>25516.999999999884</v>
      </c>
      <c r="W31" s="362">
        <f t="shared" ref="W31:X31" si="22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-16081.999999999942</v>
      </c>
      <c r="X31" s="362">
        <f t="shared" si="22"/>
        <v>80187</v>
      </c>
      <c r="Y31" s="99"/>
      <c r="Z31" s="64"/>
      <c r="BB31" s="509" t="str">
        <f>CountryCode &amp; ".T3.ADJ.S1313.MNAC." &amp; RefVintage</f>
        <v>HU.T3.ADJ.S1313.MNAC.W.2020</v>
      </c>
    </row>
    <row r="32" spans="1:54" s="18" customFormat="1" ht="16.5" customHeight="1" thickBot="1">
      <c r="A32" s="290" t="s">
        <v>394</v>
      </c>
      <c r="B32" s="414" t="s">
        <v>927</v>
      </c>
      <c r="C32" s="354" t="s">
        <v>476</v>
      </c>
      <c r="D32" s="136">
        <v>0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99"/>
      <c r="Z32" s="64"/>
      <c r="BB32" s="509" t="str">
        <f>CountryCode &amp; ".T3.LIA.S1313.MNAC." &amp; RefVintage</f>
        <v>HU.T3.LIA.S1313.MNAC.W.2020</v>
      </c>
    </row>
    <row r="33" spans="1:54" s="18" customFormat="1" ht="16.5" customHeight="1" thickBot="1">
      <c r="A33" s="272" t="s">
        <v>504</v>
      </c>
      <c r="B33" s="414" t="s">
        <v>928</v>
      </c>
      <c r="C33" s="354" t="s">
        <v>463</v>
      </c>
      <c r="D33" s="136">
        <v>-12043</v>
      </c>
      <c r="E33" s="136">
        <v>-10311</v>
      </c>
      <c r="F33" s="136">
        <v>-31042</v>
      </c>
      <c r="G33" s="136">
        <v>-16213.000000000002</v>
      </c>
      <c r="H33" s="136">
        <v>11993</v>
      </c>
      <c r="I33" s="136">
        <v>-20711</v>
      </c>
      <c r="J33" s="136">
        <v>-17894</v>
      </c>
      <c r="K33" s="136">
        <v>-17252</v>
      </c>
      <c r="L33" s="136">
        <v>-12044</v>
      </c>
      <c r="M33" s="136">
        <v>-52743</v>
      </c>
      <c r="N33" s="136">
        <v>-54316</v>
      </c>
      <c r="O33" s="136">
        <v>-34365</v>
      </c>
      <c r="P33" s="136">
        <v>61939</v>
      </c>
      <c r="Q33" s="136">
        <v>64325</v>
      </c>
      <c r="R33" s="136">
        <v>-38868</v>
      </c>
      <c r="S33" s="136">
        <v>-22638</v>
      </c>
      <c r="T33" s="136">
        <v>-20222</v>
      </c>
      <c r="U33" s="136">
        <v>30302</v>
      </c>
      <c r="V33" s="136">
        <v>16718</v>
      </c>
      <c r="W33" s="136">
        <v>-31031</v>
      </c>
      <c r="X33" s="136">
        <v>71457</v>
      </c>
      <c r="Y33" s="99"/>
      <c r="Z33" s="64"/>
      <c r="BB33" s="509" t="str">
        <f>CountryCode &amp; ".T3.OAP.S1313.MNAC." &amp; RefVintage</f>
        <v>HU.T3.OAP.S1313.MNAC.W.2020</v>
      </c>
    </row>
    <row r="34" spans="1:54" s="18" customFormat="1" ht="16.5" customHeight="1">
      <c r="A34" s="290" t="s">
        <v>395</v>
      </c>
      <c r="B34" s="414" t="s">
        <v>929</v>
      </c>
      <c r="C34" s="354" t="s">
        <v>477</v>
      </c>
      <c r="D34" s="136">
        <v>0</v>
      </c>
      <c r="E34" s="136">
        <v>0</v>
      </c>
      <c r="F34" s="136">
        <v>0</v>
      </c>
      <c r="G34" s="136">
        <v>0</v>
      </c>
      <c r="H34" s="136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6">
        <v>0</v>
      </c>
      <c r="O34" s="136">
        <v>0</v>
      </c>
      <c r="P34" s="136">
        <v>0</v>
      </c>
      <c r="Q34" s="136">
        <v>0</v>
      </c>
      <c r="R34" s="136">
        <v>0</v>
      </c>
      <c r="S34" s="136">
        <v>0</v>
      </c>
      <c r="T34" s="136">
        <v>0</v>
      </c>
      <c r="U34" s="136">
        <v>0</v>
      </c>
      <c r="V34" s="136">
        <v>0</v>
      </c>
      <c r="W34" s="136">
        <v>0</v>
      </c>
      <c r="X34" s="136">
        <v>0</v>
      </c>
      <c r="Y34" s="99"/>
      <c r="Z34" s="64"/>
      <c r="BB34" s="509" t="str">
        <f>CountryCode &amp; ".T3.OLIA.S1313.MNAC." &amp; RefVintage</f>
        <v>HU.T3.OLIA.S1313.MNAC.W.2020</v>
      </c>
    </row>
    <row r="35" spans="1:54" s="18" customFormat="1" ht="16.5" customHeight="1">
      <c r="A35" s="290"/>
      <c r="B35" s="150"/>
      <c r="C35" s="360"/>
      <c r="D35" s="113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99"/>
      <c r="Z35" s="64"/>
      <c r="BB35" s="509"/>
    </row>
    <row r="36" spans="1:54" s="18" customFormat="1" ht="16.5" customHeight="1">
      <c r="A36" s="290" t="s">
        <v>396</v>
      </c>
      <c r="B36" s="414" t="s">
        <v>930</v>
      </c>
      <c r="C36" s="354" t="s">
        <v>66</v>
      </c>
      <c r="D36" s="136">
        <v>0</v>
      </c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36">
        <v>0</v>
      </c>
      <c r="L36" s="136">
        <v>0</v>
      </c>
      <c r="M36" s="136">
        <v>0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36">
        <v>0</v>
      </c>
      <c r="T36" s="136">
        <v>0</v>
      </c>
      <c r="U36" s="136">
        <v>0</v>
      </c>
      <c r="V36" s="136">
        <v>0</v>
      </c>
      <c r="W36" s="136">
        <v>0</v>
      </c>
      <c r="X36" s="136">
        <v>0</v>
      </c>
      <c r="Y36" s="99"/>
      <c r="Z36" s="64"/>
      <c r="BB36" s="509" t="str">
        <f>CountryCode &amp; ".T3.ISS_A.S1313.MNAC." &amp; RefVintage</f>
        <v>HU.T3.ISS_A.S1313.MNAC.W.2020</v>
      </c>
    </row>
    <row r="37" spans="1:54" s="18" customFormat="1" ht="16.5" customHeight="1">
      <c r="A37" s="290" t="s">
        <v>397</v>
      </c>
      <c r="B37" s="414" t="s">
        <v>931</v>
      </c>
      <c r="C37" s="354" t="s">
        <v>478</v>
      </c>
      <c r="D37" s="136">
        <v>55</v>
      </c>
      <c r="E37" s="136">
        <v>113</v>
      </c>
      <c r="F37" s="136">
        <v>156</v>
      </c>
      <c r="G37" s="136">
        <v>-784</v>
      </c>
      <c r="H37" s="136">
        <v>51</v>
      </c>
      <c r="I37" s="136">
        <v>-48</v>
      </c>
      <c r="J37" s="136">
        <v>-183</v>
      </c>
      <c r="K37" s="136">
        <v>9</v>
      </c>
      <c r="L37" s="136">
        <v>772</v>
      </c>
      <c r="M37" s="136">
        <v>-72</v>
      </c>
      <c r="N37" s="136">
        <v>-951</v>
      </c>
      <c r="O37" s="136">
        <v>-196</v>
      </c>
      <c r="P37" s="136">
        <v>-1608</v>
      </c>
      <c r="Q37" s="136">
        <v>-2303</v>
      </c>
      <c r="R37" s="136">
        <v>853.00000000000011</v>
      </c>
      <c r="S37" s="136">
        <v>1562</v>
      </c>
      <c r="T37" s="136">
        <v>378.00000000000011</v>
      </c>
      <c r="U37" s="136">
        <v>180.99999999999991</v>
      </c>
      <c r="V37" s="136">
        <v>629</v>
      </c>
      <c r="W37" s="136">
        <v>1799</v>
      </c>
      <c r="X37" s="136">
        <v>-4.0000000000000036</v>
      </c>
      <c r="Y37" s="99"/>
      <c r="Z37" s="64"/>
      <c r="BB37" s="509" t="str">
        <f>CountryCode &amp; ".T3.D41_A.S1313.MNAC." &amp; RefVintage</f>
        <v>HU.T3.D41_A.S1313.MNAC.W.2020</v>
      </c>
    </row>
    <row r="38" spans="1:54" s="191" customFormat="1" ht="16.5" customHeight="1">
      <c r="A38" s="290" t="s">
        <v>398</v>
      </c>
      <c r="B38" s="414" t="s">
        <v>932</v>
      </c>
      <c r="C38" s="361" t="s">
        <v>479</v>
      </c>
      <c r="D38" s="136">
        <v>0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36">
        <v>0</v>
      </c>
      <c r="T38" s="136">
        <v>0</v>
      </c>
      <c r="U38" s="136">
        <v>0</v>
      </c>
      <c r="V38" s="136">
        <v>0</v>
      </c>
      <c r="W38" s="136">
        <v>0</v>
      </c>
      <c r="X38" s="136">
        <v>0</v>
      </c>
      <c r="Y38" s="99"/>
      <c r="Z38" s="64"/>
      <c r="BB38" s="510" t="str">
        <f>CountryCode &amp; ".T3.RED_A.S1313.MNAC." &amp; RefVintage</f>
        <v>HU.T3.RED_A.S1313.MNAC.W.2020</v>
      </c>
    </row>
    <row r="39" spans="1:54" s="18" customFormat="1" ht="16.5" customHeight="1">
      <c r="A39" s="290"/>
      <c r="B39" s="150"/>
      <c r="C39" s="360"/>
      <c r="D39" s="113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99"/>
      <c r="Z39" s="64"/>
      <c r="BB39" s="509"/>
    </row>
    <row r="40" spans="1:54" s="18" customFormat="1" ht="16.5" customHeight="1">
      <c r="A40" s="290" t="s">
        <v>399</v>
      </c>
      <c r="B40" s="414" t="s">
        <v>933</v>
      </c>
      <c r="C40" s="354" t="s">
        <v>95</v>
      </c>
      <c r="D40" s="136">
        <v>970.99999999999818</v>
      </c>
      <c r="E40" s="136">
        <v>1622</v>
      </c>
      <c r="F40" s="136">
        <v>1517</v>
      </c>
      <c r="G40" s="136">
        <v>3249</v>
      </c>
      <c r="H40" s="136">
        <v>-94.999999999998181</v>
      </c>
      <c r="I40" s="136">
        <v>1349.0000000000164</v>
      </c>
      <c r="J40" s="136">
        <v>-3213</v>
      </c>
      <c r="K40" s="136">
        <v>-2726.0000000000291</v>
      </c>
      <c r="L40" s="136">
        <v>8571.9999999999709</v>
      </c>
      <c r="M40" s="136">
        <v>-3107</v>
      </c>
      <c r="N40" s="136">
        <v>3784.0000000000582</v>
      </c>
      <c r="O40" s="136">
        <v>-3100</v>
      </c>
      <c r="P40" s="136">
        <v>-57.999999999970896</v>
      </c>
      <c r="Q40" s="136">
        <v>62828.999999999884</v>
      </c>
      <c r="R40" s="136">
        <v>12135.000000000116</v>
      </c>
      <c r="S40" s="136">
        <v>109705</v>
      </c>
      <c r="T40" s="136">
        <v>100973.99999999991</v>
      </c>
      <c r="U40" s="136">
        <v>-46257.999999999971</v>
      </c>
      <c r="V40" s="136">
        <v>8169.9999999998836</v>
      </c>
      <c r="W40" s="136">
        <v>13150.000000000058</v>
      </c>
      <c r="X40" s="136">
        <v>326</v>
      </c>
      <c r="Y40" s="99"/>
      <c r="Z40" s="64"/>
      <c r="BB40" s="509" t="str">
        <f>CountryCode &amp; ".T3.FREV_A.S1313.MNAC." &amp; RefVintage</f>
        <v>HU.T3.FREV_A.S1313.MNAC.W.2020</v>
      </c>
    </row>
    <row r="41" spans="1:54" s="18" customFormat="1" ht="16.5" customHeight="1">
      <c r="A41" s="290" t="s">
        <v>524</v>
      </c>
      <c r="B41" s="414" t="s">
        <v>934</v>
      </c>
      <c r="C41" s="354" t="s">
        <v>480</v>
      </c>
      <c r="D41" s="136">
        <v>0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6">
        <v>0</v>
      </c>
      <c r="Q41" s="136">
        <v>0</v>
      </c>
      <c r="R41" s="136">
        <v>0</v>
      </c>
      <c r="S41" s="136">
        <v>-1363.9999999999998</v>
      </c>
      <c r="T41" s="136">
        <v>0</v>
      </c>
      <c r="U41" s="136">
        <v>0</v>
      </c>
      <c r="V41" s="136">
        <v>0</v>
      </c>
      <c r="W41" s="136">
        <v>0</v>
      </c>
      <c r="X41" s="136">
        <v>8408</v>
      </c>
      <c r="Y41" s="99"/>
      <c r="Z41" s="64"/>
      <c r="BB41" s="509" t="str">
        <f>CountryCode &amp; ".T3.K61.S1313.MNAC." &amp; RefVintage</f>
        <v>HU.T3.K61.S1313.MNAC.W.2020</v>
      </c>
    </row>
    <row r="42" spans="1:54" s="18" customFormat="1" ht="16.5" customHeight="1">
      <c r="A42" s="290" t="s">
        <v>400</v>
      </c>
      <c r="B42" s="414" t="s">
        <v>935</v>
      </c>
      <c r="C42" s="354" t="s">
        <v>481</v>
      </c>
      <c r="D42" s="136">
        <v>0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36">
        <v>0</v>
      </c>
      <c r="T42" s="136">
        <v>0</v>
      </c>
      <c r="U42" s="136">
        <v>0</v>
      </c>
      <c r="V42" s="136">
        <v>0</v>
      </c>
      <c r="W42" s="136">
        <v>0</v>
      </c>
      <c r="X42" s="136">
        <v>0</v>
      </c>
      <c r="Y42" s="99"/>
      <c r="Z42" s="64"/>
      <c r="BB42" s="509" t="str">
        <f>CountryCode &amp; ".T3.OCVO_A.S1313.MNAC." &amp; RefVintage</f>
        <v>HU.T3.OCVO_A.S1313.MNAC.W.2020</v>
      </c>
    </row>
    <row r="43" spans="1:54" s="18" customFormat="1" ht="16.5" customHeight="1">
      <c r="A43" s="290"/>
      <c r="B43" s="150"/>
      <c r="C43" s="360"/>
      <c r="D43" s="113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99"/>
      <c r="Z43" s="64"/>
      <c r="BB43" s="509"/>
    </row>
    <row r="44" spans="1:54" s="18" customFormat="1" ht="16.5" customHeight="1">
      <c r="A44" s="290" t="s">
        <v>401</v>
      </c>
      <c r="B44" s="414" t="s">
        <v>936</v>
      </c>
      <c r="C44" s="359" t="s">
        <v>64</v>
      </c>
      <c r="D44" s="136">
        <v>14732</v>
      </c>
      <c r="E44" s="136">
        <v>-8581</v>
      </c>
      <c r="F44" s="136">
        <v>44778</v>
      </c>
      <c r="G44" s="136">
        <v>8439.9999999999982</v>
      </c>
      <c r="H44" s="136">
        <v>-12006</v>
      </c>
      <c r="I44" s="136">
        <v>-23588</v>
      </c>
      <c r="J44" s="136">
        <v>-8860</v>
      </c>
      <c r="K44" s="136">
        <v>-21474.999999999985</v>
      </c>
      <c r="L44" s="136">
        <v>22099.999999999996</v>
      </c>
      <c r="M44" s="136">
        <v>12244.000000000007</v>
      </c>
      <c r="N44" s="136">
        <v>35335.38461538461</v>
      </c>
      <c r="O44" s="136">
        <v>11012</v>
      </c>
      <c r="P44" s="136">
        <v>1500</v>
      </c>
      <c r="Q44" s="136">
        <v>-27713</v>
      </c>
      <c r="R44" s="136">
        <v>33664.000000000015</v>
      </c>
      <c r="S44" s="136">
        <v>14623.999999999971</v>
      </c>
      <c r="T44" s="136">
        <v>29450</v>
      </c>
      <c r="U44" s="136">
        <v>-9121</v>
      </c>
      <c r="V44" s="136">
        <v>3353</v>
      </c>
      <c r="W44" s="136">
        <v>24511.823000000382</v>
      </c>
      <c r="X44" s="136">
        <v>-21266.964499999944</v>
      </c>
      <c r="Y44" s="99"/>
      <c r="Z44" s="64"/>
      <c r="BB44" s="509" t="str">
        <f>CountryCode &amp; ".T3.SD.S1313.MNAC." &amp; RefVintage</f>
        <v>HU.T3.SD.S1313.MNAC.W.2020</v>
      </c>
    </row>
    <row r="45" spans="1:54" s="18" customFormat="1" ht="16.5" customHeight="1">
      <c r="A45" s="290" t="s">
        <v>402</v>
      </c>
      <c r="B45" s="414" t="s">
        <v>937</v>
      </c>
      <c r="C45" s="354" t="s">
        <v>73</v>
      </c>
      <c r="D45" s="136">
        <v>14732</v>
      </c>
      <c r="E45" s="136">
        <v>-8581</v>
      </c>
      <c r="F45" s="136">
        <v>44778</v>
      </c>
      <c r="G45" s="136">
        <v>8439.9999999999982</v>
      </c>
      <c r="H45" s="136">
        <v>-12006</v>
      </c>
      <c r="I45" s="136">
        <v>-23588</v>
      </c>
      <c r="J45" s="136">
        <v>-8860</v>
      </c>
      <c r="K45" s="136">
        <v>-21474.999999999985</v>
      </c>
      <c r="L45" s="136">
        <v>22099.999999999996</v>
      </c>
      <c r="M45" s="136">
        <v>12244.000000000007</v>
      </c>
      <c r="N45" s="136">
        <v>35335.38461538461</v>
      </c>
      <c r="O45" s="136">
        <v>11012</v>
      </c>
      <c r="P45" s="136">
        <v>1500</v>
      </c>
      <c r="Q45" s="136">
        <v>-27713</v>
      </c>
      <c r="R45" s="136">
        <v>33664.000000000015</v>
      </c>
      <c r="S45" s="136">
        <v>14623.999999999971</v>
      </c>
      <c r="T45" s="136">
        <v>29450</v>
      </c>
      <c r="U45" s="136">
        <v>-9121</v>
      </c>
      <c r="V45" s="136">
        <v>3353</v>
      </c>
      <c r="W45" s="136">
        <v>24511.823000000382</v>
      </c>
      <c r="X45" s="136">
        <v>-21266.964499999944</v>
      </c>
      <c r="Y45" s="99"/>
      <c r="Z45" s="64"/>
      <c r="BB45" s="509" t="str">
        <f>CountryCode &amp; ".T3.B9_SD.S1313.MNAC." &amp; RefVintage</f>
        <v>HU.T3.B9_SD.S1313.MNAC.W.2020</v>
      </c>
    </row>
    <row r="46" spans="1:54" s="18" customFormat="1" ht="16.5" customHeight="1">
      <c r="A46" s="290" t="s">
        <v>403</v>
      </c>
      <c r="B46" s="414" t="s">
        <v>938</v>
      </c>
      <c r="C46" s="354" t="s">
        <v>63</v>
      </c>
      <c r="D46" s="136">
        <v>0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36">
        <v>0</v>
      </c>
      <c r="T46" s="136">
        <v>0</v>
      </c>
      <c r="U46" s="136">
        <v>0</v>
      </c>
      <c r="V46" s="136">
        <v>0</v>
      </c>
      <c r="W46" s="136">
        <v>0</v>
      </c>
      <c r="X46" s="136">
        <v>0</v>
      </c>
      <c r="Y46" s="99"/>
      <c r="Z46" s="64"/>
      <c r="BB46" s="509" t="str">
        <f>CountryCode &amp; ".T3.OSD.S1313.MNAC." &amp; RefVintage</f>
        <v>HU.T3.OSD.S1313.MNAC.W.2020</v>
      </c>
    </row>
    <row r="47" spans="1:54" ht="12.75" customHeight="1" thickBot="1">
      <c r="A47" s="290"/>
      <c r="B47" s="150"/>
      <c r="C47" s="358"/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7"/>
      <c r="Z47" s="64"/>
    </row>
    <row r="48" spans="1:54" s="18" customFormat="1" ht="20.25" customHeight="1" thickTop="1" thickBot="1">
      <c r="A48" s="290" t="s">
        <v>404</v>
      </c>
      <c r="B48" s="414" t="s">
        <v>939</v>
      </c>
      <c r="C48" s="312" t="s">
        <v>110</v>
      </c>
      <c r="D48" s="136">
        <v>-3792.0000000000018</v>
      </c>
      <c r="E48" s="136">
        <v>-4881</v>
      </c>
      <c r="F48" s="136">
        <v>25885.999999999996</v>
      </c>
      <c r="G48" s="136">
        <v>29171.999999999996</v>
      </c>
      <c r="H48" s="136">
        <v>6920.0000000000018</v>
      </c>
      <c r="I48" s="136">
        <v>13679.000000000016</v>
      </c>
      <c r="J48" s="136">
        <v>34690</v>
      </c>
      <c r="K48" s="136">
        <v>94777.999999999985</v>
      </c>
      <c r="L48" s="136">
        <v>19517.999999999971</v>
      </c>
      <c r="M48" s="136">
        <v>61067.000000000007</v>
      </c>
      <c r="N48" s="136">
        <v>75664.000000000044</v>
      </c>
      <c r="O48" s="136">
        <v>153863</v>
      </c>
      <c r="P48" s="136">
        <v>213345.00000000003</v>
      </c>
      <c r="Q48" s="136">
        <v>255811.99999999988</v>
      </c>
      <c r="R48" s="136">
        <v>47379.000000000131</v>
      </c>
      <c r="S48" s="136">
        <v>172442.99999999997</v>
      </c>
      <c r="T48" s="136">
        <v>-46006.000000000087</v>
      </c>
      <c r="U48" s="136">
        <v>-137981.99999999997</v>
      </c>
      <c r="V48" s="136">
        <v>-608198.00000000012</v>
      </c>
      <c r="W48" s="136">
        <v>-417604.99999999994</v>
      </c>
      <c r="X48" s="136">
        <v>17214</v>
      </c>
      <c r="Y48" s="6"/>
      <c r="Z48" s="64"/>
      <c r="BB48" s="509" t="str">
        <f>CountryCode &amp; ".T3.CHDEBT.S1313.MNAC." &amp; RefVintage</f>
        <v>HU.T3.CHDEBT.S1313.MNAC.W.2020</v>
      </c>
    </row>
    <row r="49" spans="1:54" s="23" customFormat="1" ht="9" customHeight="1" thickTop="1" thickBot="1">
      <c r="A49" s="290"/>
      <c r="B49" s="150"/>
      <c r="C49" s="37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8"/>
      <c r="Z49" s="50"/>
      <c r="BB49" s="315"/>
    </row>
    <row r="50" spans="1:54" s="23" customFormat="1" ht="9" customHeight="1" thickTop="1" thickBot="1">
      <c r="A50" s="290"/>
      <c r="B50" s="150"/>
      <c r="C50" s="371"/>
      <c r="D50" s="91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"/>
      <c r="Z50" s="50"/>
      <c r="BB50" s="315"/>
    </row>
    <row r="51" spans="1:54" s="23" customFormat="1" ht="18.75" thickTop="1" thickBot="1">
      <c r="A51" s="290" t="s">
        <v>405</v>
      </c>
      <c r="B51" s="414" t="s">
        <v>940</v>
      </c>
      <c r="C51" s="312" t="s">
        <v>111</v>
      </c>
      <c r="D51" s="491">
        <v>33667</v>
      </c>
      <c r="E51" s="492">
        <v>6371</v>
      </c>
      <c r="F51" s="492">
        <v>-7391</v>
      </c>
      <c r="G51" s="492">
        <v>27875</v>
      </c>
      <c r="H51" s="492">
        <v>9873</v>
      </c>
      <c r="I51" s="492">
        <v>28928.000000000015</v>
      </c>
      <c r="J51" s="492">
        <v>53987</v>
      </c>
      <c r="K51" s="492">
        <v>185010</v>
      </c>
      <c r="L51" s="492">
        <v>224550</v>
      </c>
      <c r="M51" s="492">
        <v>270062</v>
      </c>
      <c r="N51" s="492">
        <v>364170</v>
      </c>
      <c r="O51" s="492">
        <v>527784</v>
      </c>
      <c r="P51" s="492">
        <v>732672</v>
      </c>
      <c r="Q51" s="492">
        <v>917052</v>
      </c>
      <c r="R51" s="492">
        <v>1042666</v>
      </c>
      <c r="S51" s="492">
        <v>1238217</v>
      </c>
      <c r="T51" s="492">
        <v>1175997</v>
      </c>
      <c r="U51" s="492">
        <v>1037773</v>
      </c>
      <c r="V51" s="492">
        <v>438304</v>
      </c>
      <c r="W51" s="492">
        <v>27585</v>
      </c>
      <c r="X51" s="492">
        <v>39321</v>
      </c>
      <c r="Y51" s="4"/>
      <c r="Z51" s="50"/>
      <c r="BB51" s="315" t="str">
        <f>CountryCode &amp; ".T3.CTDEBT.S1313.MNAC." &amp; RefVintage</f>
        <v>HU.T3.CTDEBT.S1313.MNAC.W.2020</v>
      </c>
    </row>
    <row r="52" spans="1:54" s="23" customFormat="1" ht="15.75" thickTop="1">
      <c r="A52" s="290" t="s">
        <v>406</v>
      </c>
      <c r="B52" s="414" t="s">
        <v>941</v>
      </c>
      <c r="C52" s="354" t="s">
        <v>112</v>
      </c>
      <c r="D52" s="489">
        <v>59643</v>
      </c>
      <c r="E52" s="489">
        <v>54762</v>
      </c>
      <c r="F52" s="489">
        <v>80648</v>
      </c>
      <c r="G52" s="489">
        <v>109820</v>
      </c>
      <c r="H52" s="489">
        <v>116740</v>
      </c>
      <c r="I52" s="489">
        <v>130419.00000000001</v>
      </c>
      <c r="J52" s="489">
        <v>165109</v>
      </c>
      <c r="K52" s="489">
        <v>259887</v>
      </c>
      <c r="L52" s="489">
        <v>279405</v>
      </c>
      <c r="M52" s="489">
        <v>340472</v>
      </c>
      <c r="N52" s="489">
        <v>416136</v>
      </c>
      <c r="O52" s="489">
        <v>569999</v>
      </c>
      <c r="P52" s="489">
        <v>783344</v>
      </c>
      <c r="Q52" s="489">
        <v>1039156</v>
      </c>
      <c r="R52" s="489">
        <v>1086535</v>
      </c>
      <c r="S52" s="489">
        <v>1258978</v>
      </c>
      <c r="T52" s="489">
        <v>1212972</v>
      </c>
      <c r="U52" s="489">
        <v>1074990</v>
      </c>
      <c r="V52" s="489">
        <v>466792</v>
      </c>
      <c r="W52" s="489">
        <v>49187</v>
      </c>
      <c r="X52" s="489">
        <v>66401</v>
      </c>
      <c r="Y52" s="490"/>
      <c r="Z52" s="50"/>
      <c r="BB52" s="315" t="str">
        <f>CountryCode &amp; ".T3.DEBT.S1313.MNAC." &amp; RefVintage</f>
        <v>HU.T3.DEBT.S1313.MNAC.W.2020</v>
      </c>
    </row>
    <row r="53" spans="1:54" s="23" customFormat="1" ht="18.75" customHeight="1">
      <c r="A53" s="290" t="s">
        <v>407</v>
      </c>
      <c r="B53" s="414" t="s">
        <v>942</v>
      </c>
      <c r="C53" s="372" t="s">
        <v>113</v>
      </c>
      <c r="D53" s="136">
        <v>25976</v>
      </c>
      <c r="E53" s="136">
        <v>48391</v>
      </c>
      <c r="F53" s="136">
        <v>88039</v>
      </c>
      <c r="G53" s="136">
        <v>81945</v>
      </c>
      <c r="H53" s="136">
        <v>106867</v>
      </c>
      <c r="I53" s="136">
        <v>101491</v>
      </c>
      <c r="J53" s="136">
        <v>111122</v>
      </c>
      <c r="K53" s="136">
        <v>74877</v>
      </c>
      <c r="L53" s="136">
        <v>54855</v>
      </c>
      <c r="M53" s="136">
        <v>70410</v>
      </c>
      <c r="N53" s="136">
        <v>51966</v>
      </c>
      <c r="O53" s="136">
        <v>42215</v>
      </c>
      <c r="P53" s="136">
        <v>50672</v>
      </c>
      <c r="Q53" s="136">
        <v>122104</v>
      </c>
      <c r="R53" s="136">
        <v>43869</v>
      </c>
      <c r="S53" s="136">
        <v>20761</v>
      </c>
      <c r="T53" s="136">
        <v>36975</v>
      </c>
      <c r="U53" s="136">
        <v>37217</v>
      </c>
      <c r="V53" s="136">
        <v>28488</v>
      </c>
      <c r="W53" s="136">
        <v>21602</v>
      </c>
      <c r="X53" s="136">
        <v>27080.000000000004</v>
      </c>
      <c r="Y53" s="137"/>
      <c r="Z53" s="50"/>
      <c r="BB53" s="315" t="str">
        <f>CountryCode &amp; ".T3.HOLD.S1313.MNAC." &amp; RefVintage</f>
        <v>HU.T3.HOLD.S1313.MNAC.W.2020</v>
      </c>
    </row>
    <row r="54" spans="1:54" s="23" customFormat="1" ht="9.75" customHeight="1" thickBot="1">
      <c r="A54" s="159"/>
      <c r="B54" s="150"/>
      <c r="C54" s="17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71"/>
      <c r="Z54" s="50"/>
      <c r="BB54" s="315"/>
    </row>
    <row r="55" spans="1:54" s="23" customFormat="1" ht="20.25" thickTop="1" thickBot="1">
      <c r="A55" s="159"/>
      <c r="B55" s="150"/>
      <c r="C55" s="369" t="str">
        <f>'Table 3A'!$C$50</f>
        <v xml:space="preserve">*Please note that the sign convention for net lending/ net borrowing is different from tables 1 and 2. </v>
      </c>
      <c r="D55" s="350"/>
      <c r="E55" s="350"/>
      <c r="F55" s="350"/>
      <c r="G55" s="350"/>
      <c r="H55" s="350"/>
      <c r="I55" s="350"/>
      <c r="J55" s="350"/>
      <c r="K55" s="350"/>
      <c r="L55" s="350"/>
      <c r="M55" s="350"/>
      <c r="N55" s="350"/>
      <c r="O55" s="350"/>
      <c r="P55" s="350"/>
      <c r="Q55" s="350"/>
      <c r="R55" s="350"/>
      <c r="S55" s="350"/>
      <c r="T55" s="350"/>
      <c r="U55" s="350"/>
      <c r="V55" s="350"/>
      <c r="W55" s="350"/>
      <c r="X55" s="350"/>
      <c r="Y55" s="351"/>
      <c r="Z55" s="50"/>
      <c r="AB55" s="13"/>
      <c r="BB55" s="315"/>
    </row>
    <row r="56" spans="1:54" s="23" customFormat="1" ht="8.25" customHeight="1" thickTop="1">
      <c r="A56" s="159"/>
      <c r="B56" s="150"/>
      <c r="C56" s="175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50"/>
      <c r="AB56" s="13"/>
      <c r="BB56" s="315"/>
    </row>
    <row r="57" spans="1:54" s="23" customFormat="1" ht="15.75">
      <c r="A57" s="159"/>
      <c r="B57" s="150"/>
      <c r="C57" s="176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50"/>
      <c r="AB57" s="13"/>
      <c r="BB57" s="315"/>
    </row>
    <row r="58" spans="1:54" s="23" customFormat="1" ht="15.75">
      <c r="A58" s="151"/>
      <c r="B58" s="150"/>
      <c r="C58" s="226" t="s">
        <v>96</v>
      </c>
      <c r="D58" s="226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50"/>
      <c r="AB58" s="13"/>
      <c r="BB58" s="315"/>
    </row>
    <row r="59" spans="1:54" s="23" customFormat="1" ht="15.75">
      <c r="A59" s="151"/>
      <c r="B59" s="150"/>
      <c r="C59" s="224" t="s">
        <v>109</v>
      </c>
      <c r="D59" s="226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50"/>
      <c r="AB59" s="13"/>
      <c r="BB59" s="315"/>
    </row>
    <row r="60" spans="1:54" s="23" customFormat="1" ht="16.5" customHeight="1">
      <c r="A60" s="151"/>
      <c r="B60" s="150"/>
      <c r="C60" s="224" t="s">
        <v>464</v>
      </c>
      <c r="D60" s="154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50"/>
      <c r="AB60" s="13"/>
      <c r="BB60" s="315"/>
    </row>
    <row r="61" spans="1:54" ht="9.75" customHeight="1" thickBot="1">
      <c r="A61" s="177"/>
      <c r="B61" s="170"/>
      <c r="C61" s="376"/>
      <c r="D61" s="377"/>
      <c r="E61" s="375"/>
      <c r="F61" s="375"/>
      <c r="G61" s="375"/>
      <c r="H61" s="375"/>
      <c r="I61" s="375"/>
      <c r="J61" s="375"/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375"/>
      <c r="X61" s="375"/>
      <c r="Y61" s="375"/>
      <c r="Z61" s="52"/>
      <c r="AB61" s="13"/>
    </row>
    <row r="62" spans="1:54" ht="16.5" thickTop="1">
      <c r="B62" s="212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13"/>
      <c r="AA62" s="13"/>
      <c r="AB62" s="13"/>
    </row>
    <row r="63" spans="1:54"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</row>
    <row r="64" spans="1:54" s="23" customFormat="1" ht="30" customHeight="1">
      <c r="A64" s="30"/>
      <c r="B64" s="20"/>
      <c r="C64" s="323" t="s">
        <v>120</v>
      </c>
      <c r="D64" s="545" t="str">
        <f>IF(COUNTA(D10:W10,D12:W29,D31:W34,D36:W38,D40:W42,D44:W46,D48:W48,D51:W53)/720*100=100,"OK - Table 3D is fully completed","WARNING - Table 3D is not fully completed, please fill in figure, L, M or 0")</f>
        <v>OK - Table 3D is fully completed</v>
      </c>
      <c r="E64" s="545"/>
      <c r="F64" s="545"/>
      <c r="G64" s="545"/>
      <c r="H64" s="545"/>
      <c r="I64" s="545"/>
      <c r="J64" s="545"/>
      <c r="K64" s="545"/>
      <c r="L64" s="545"/>
      <c r="M64" s="545"/>
      <c r="N64" s="545"/>
      <c r="O64" s="545"/>
      <c r="P64" s="545"/>
      <c r="Q64" s="545"/>
      <c r="R64" s="545"/>
      <c r="S64" s="545"/>
      <c r="T64" s="545"/>
      <c r="U64" s="545"/>
      <c r="V64" s="545"/>
      <c r="W64" s="545"/>
      <c r="X64" s="545"/>
      <c r="Y64" s="316"/>
      <c r="Z64" s="195"/>
      <c r="AA64" s="29"/>
      <c r="BB64" s="315"/>
    </row>
    <row r="65" spans="1:54" s="23" customFormat="1">
      <c r="A65" s="30"/>
      <c r="B65" s="20"/>
      <c r="C65" s="196" t="s">
        <v>121</v>
      </c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8"/>
      <c r="AA65" s="29"/>
      <c r="BB65" s="315"/>
    </row>
    <row r="66" spans="1:54" s="23" customFormat="1" ht="15.75">
      <c r="A66" s="30"/>
      <c r="B66" s="20"/>
      <c r="C66" s="317" t="s">
        <v>159</v>
      </c>
      <c r="D66" s="318">
        <f>IF(AND(D48="0",D10="0",D12="0",D31="0",D44="0")=0,IF(AND(D48="L",D10="L",D12="L",D31="L",D44="L")="NC",IF(D48="M",0,D48)-IF(D10="M",0,D10)-IF(D12="M",0,D12)-IF(D31="M",0,D31)-IF(D44="M",0,D44)))</f>
        <v>0</v>
      </c>
      <c r="E66" s="318">
        <f t="shared" ref="E66:S66" si="23">IF(AND(E48="0",E10="0",E12="0",E31="0",E44="0")=0,IF(AND(E48="L",E10="L",E12="L",E31="L",E44="L")="NC",IF(E48="M",0,E48)-IF(E10="M",0,E10)-IF(E12="M",0,E12)-IF(E31="M",0,E31)-IF(E44="M",0,E44)))</f>
        <v>0</v>
      </c>
      <c r="F66" s="318">
        <f t="shared" si="23"/>
        <v>0</v>
      </c>
      <c r="G66" s="318">
        <f t="shared" si="23"/>
        <v>-1.8189894035458565E-12</v>
      </c>
      <c r="H66" s="318">
        <f t="shared" si="23"/>
        <v>0</v>
      </c>
      <c r="I66" s="318">
        <f t="shared" si="23"/>
        <v>0</v>
      </c>
      <c r="J66" s="318">
        <f t="shared" si="23"/>
        <v>0</v>
      </c>
      <c r="K66" s="318">
        <f t="shared" si="23"/>
        <v>0</v>
      </c>
      <c r="L66" s="318">
        <f t="shared" si="23"/>
        <v>0</v>
      </c>
      <c r="M66" s="318">
        <f t="shared" si="23"/>
        <v>0</v>
      </c>
      <c r="N66" s="318">
        <f t="shared" si="23"/>
        <v>0</v>
      </c>
      <c r="O66" s="318">
        <f t="shared" si="23"/>
        <v>0</v>
      </c>
      <c r="P66" s="318">
        <f t="shared" si="23"/>
        <v>0</v>
      </c>
      <c r="Q66" s="318">
        <f t="shared" si="23"/>
        <v>0</v>
      </c>
      <c r="R66" s="318">
        <f t="shared" si="23"/>
        <v>0</v>
      </c>
      <c r="S66" s="318">
        <f t="shared" si="23"/>
        <v>0</v>
      </c>
      <c r="T66" s="318">
        <f t="shared" ref="T66:V66" si="24">IF(AND(T48="0",T10="0",T12="0",T31="0",T44="0")=0,IF(AND(T48="L",T10="L",T12="L",T31="L",T44="L")="NC",IF(T48="M",0,T48)-IF(T10="M",0,T10)-IF(T12="M",0,T12)-IF(T31="M",0,T31)-IF(T44="M",0,T44)))</f>
        <v>0</v>
      </c>
      <c r="U66" s="318">
        <f t="shared" si="24"/>
        <v>0</v>
      </c>
      <c r="V66" s="318">
        <f t="shared" si="24"/>
        <v>0</v>
      </c>
      <c r="W66" s="318">
        <f t="shared" ref="W66:X66" si="25">IF(AND(W48="0",W10="0",W12="0",W31="0",W44="0")=0,IF(AND(W48="L",W10="L",W12="L",W31="L",W44="L")="NC",IF(W48="M",0,W48)-IF(W10="M",0,W10)-IF(W12="M",0,W12)-IF(W31="M",0,W31)-IF(W44="M",0,W44)))</f>
        <v>0</v>
      </c>
      <c r="X66" s="318">
        <f t="shared" si="25"/>
        <v>0</v>
      </c>
      <c r="Y66" s="363"/>
      <c r="Z66" s="198"/>
      <c r="AA66" s="29"/>
      <c r="BB66" s="315"/>
    </row>
    <row r="67" spans="1:54" s="23" customFormat="1" ht="15.75">
      <c r="A67" s="30"/>
      <c r="B67" s="20"/>
      <c r="C67" s="317" t="s">
        <v>523</v>
      </c>
      <c r="D67" s="318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318">
        <f t="shared" ref="E67:S67" si="26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318">
        <f t="shared" si="26"/>
        <v>0</v>
      </c>
      <c r="G67" s="318">
        <f t="shared" si="26"/>
        <v>0</v>
      </c>
      <c r="H67" s="318">
        <f t="shared" si="26"/>
        <v>0</v>
      </c>
      <c r="I67" s="318">
        <f t="shared" si="26"/>
        <v>0</v>
      </c>
      <c r="J67" s="318">
        <f t="shared" si="26"/>
        <v>0</v>
      </c>
      <c r="K67" s="318">
        <f t="shared" si="26"/>
        <v>0</v>
      </c>
      <c r="L67" s="318">
        <f t="shared" si="26"/>
        <v>0</v>
      </c>
      <c r="M67" s="318">
        <f t="shared" si="26"/>
        <v>-1.8189894035458565E-12</v>
      </c>
      <c r="N67" s="318">
        <f t="shared" si="26"/>
        <v>0</v>
      </c>
      <c r="O67" s="318">
        <f t="shared" si="26"/>
        <v>0</v>
      </c>
      <c r="P67" s="318">
        <f t="shared" si="26"/>
        <v>0</v>
      </c>
      <c r="Q67" s="318">
        <f t="shared" si="26"/>
        <v>0</v>
      </c>
      <c r="R67" s="318">
        <f t="shared" si="26"/>
        <v>0</v>
      </c>
      <c r="S67" s="318">
        <f t="shared" si="26"/>
        <v>0</v>
      </c>
      <c r="T67" s="318">
        <f t="shared" ref="T67:V67" si="27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318">
        <f t="shared" si="27"/>
        <v>0</v>
      </c>
      <c r="V67" s="318">
        <f t="shared" si="27"/>
        <v>0</v>
      </c>
      <c r="W67" s="318">
        <f t="shared" ref="W67:X67" si="28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318">
        <f t="shared" si="28"/>
        <v>0</v>
      </c>
      <c r="Y67" s="363"/>
      <c r="Z67" s="198"/>
      <c r="AA67" s="29"/>
      <c r="BB67" s="315"/>
    </row>
    <row r="68" spans="1:54" s="23" customFormat="1" ht="15.75">
      <c r="A68" s="30"/>
      <c r="B68" s="20"/>
      <c r="C68" s="365" t="s">
        <v>160</v>
      </c>
      <c r="D68" s="318">
        <f>IF(AND(D15="0",D18="0",D19="0"),0,IF(AND(D15="L",D18="L",D19="L"),"NC",IF(D15="M",0,D15)-IF(D18="M",0,D18)-IF(D19="M",0,D19)))</f>
        <v>0</v>
      </c>
      <c r="E68" s="318">
        <f t="shared" ref="E68:S68" si="29">IF(AND(E15="0",E18="0",E19="0"),0,IF(AND(E15="L",E18="L",E19="L"),"NC",IF(E15="M",0,E15)-IF(E18="M",0,E18)-IF(E19="M",0,E19)))</f>
        <v>0</v>
      </c>
      <c r="F68" s="318">
        <f t="shared" si="29"/>
        <v>0</v>
      </c>
      <c r="G68" s="318">
        <f t="shared" si="29"/>
        <v>0</v>
      </c>
      <c r="H68" s="318">
        <f t="shared" si="29"/>
        <v>0</v>
      </c>
      <c r="I68" s="318">
        <f t="shared" si="29"/>
        <v>0</v>
      </c>
      <c r="J68" s="318">
        <f t="shared" si="29"/>
        <v>0</v>
      </c>
      <c r="K68" s="318">
        <f t="shared" si="29"/>
        <v>0</v>
      </c>
      <c r="L68" s="318">
        <f t="shared" si="29"/>
        <v>0</v>
      </c>
      <c r="M68" s="318">
        <f t="shared" si="29"/>
        <v>0</v>
      </c>
      <c r="N68" s="318">
        <f t="shared" si="29"/>
        <v>0</v>
      </c>
      <c r="O68" s="318">
        <f t="shared" si="29"/>
        <v>0</v>
      </c>
      <c r="P68" s="318">
        <f t="shared" si="29"/>
        <v>0</v>
      </c>
      <c r="Q68" s="318">
        <f t="shared" si="29"/>
        <v>0</v>
      </c>
      <c r="R68" s="318">
        <f t="shared" si="29"/>
        <v>0</v>
      </c>
      <c r="S68" s="318">
        <f t="shared" si="29"/>
        <v>0</v>
      </c>
      <c r="T68" s="318">
        <f t="shared" ref="T68:V68" si="30">IF(AND(T15="0",T18="0",T19="0"),0,IF(AND(T15="L",T18="L",T19="L"),"NC",IF(T15="M",0,T15)-IF(T18="M",0,T18)-IF(T19="M",0,T19)))</f>
        <v>0</v>
      </c>
      <c r="U68" s="318">
        <f t="shared" si="30"/>
        <v>0</v>
      </c>
      <c r="V68" s="318">
        <f t="shared" si="30"/>
        <v>0</v>
      </c>
      <c r="W68" s="318">
        <f t="shared" ref="W68:X68" si="31">IF(AND(W15="0",W18="0",W19="0"),0,IF(AND(W15="L",W18="L",W19="L"),"NC",IF(W15="M",0,W15)-IF(W18="M",0,W18)-IF(W19="M",0,W19)))</f>
        <v>0</v>
      </c>
      <c r="X68" s="318">
        <f t="shared" si="31"/>
        <v>0</v>
      </c>
      <c r="Y68" s="363"/>
      <c r="Z68" s="198"/>
      <c r="AA68" s="29"/>
      <c r="BB68" s="315"/>
    </row>
    <row r="69" spans="1:54" s="23" customFormat="1" ht="15.75">
      <c r="A69" s="30"/>
      <c r="B69" s="20"/>
      <c r="C69" s="516" t="s">
        <v>161</v>
      </c>
      <c r="D69" s="318">
        <f>IF(AND(D16="",D17=""),0,IF(AND(D16="L",D17="L"),"NC",IF(D15="M",0,D15)-IF(D16="M",0,D16)-IF(D17="M",0,D17)))</f>
        <v>0</v>
      </c>
      <c r="E69" s="318">
        <f t="shared" ref="E69:S69" si="32">IF(AND(E16="",E17=""),0,IF(AND(E16="L",E17="L"),"NC",IF(E15="M",0,E15)-IF(E16="M",0,E16)-IF(E17="M",0,E17)))</f>
        <v>0</v>
      </c>
      <c r="F69" s="318">
        <f t="shared" si="32"/>
        <v>0</v>
      </c>
      <c r="G69" s="318">
        <f t="shared" si="32"/>
        <v>0</v>
      </c>
      <c r="H69" s="318">
        <f t="shared" si="32"/>
        <v>0</v>
      </c>
      <c r="I69" s="318">
        <f t="shared" si="32"/>
        <v>0</v>
      </c>
      <c r="J69" s="318">
        <f t="shared" si="32"/>
        <v>0</v>
      </c>
      <c r="K69" s="318">
        <f t="shared" si="32"/>
        <v>0</v>
      </c>
      <c r="L69" s="318">
        <f t="shared" si="32"/>
        <v>0</v>
      </c>
      <c r="M69" s="318">
        <f t="shared" si="32"/>
        <v>0</v>
      </c>
      <c r="N69" s="318">
        <f t="shared" si="32"/>
        <v>0</v>
      </c>
      <c r="O69" s="318">
        <f t="shared" si="32"/>
        <v>0</v>
      </c>
      <c r="P69" s="318">
        <f t="shared" si="32"/>
        <v>0</v>
      </c>
      <c r="Q69" s="318">
        <f t="shared" si="32"/>
        <v>0</v>
      </c>
      <c r="R69" s="318">
        <f t="shared" si="32"/>
        <v>0</v>
      </c>
      <c r="S69" s="318">
        <f t="shared" si="32"/>
        <v>0</v>
      </c>
      <c r="T69" s="318">
        <f t="shared" ref="T69:V69" si="33">IF(AND(T16="",T17=""),0,IF(AND(T16="L",T17="L"),"NC",IF(T15="M",0,T15)-IF(T16="M",0,T16)-IF(T17="M",0,T17)))</f>
        <v>0</v>
      </c>
      <c r="U69" s="318">
        <f t="shared" si="33"/>
        <v>0</v>
      </c>
      <c r="V69" s="318">
        <f t="shared" si="33"/>
        <v>0</v>
      </c>
      <c r="W69" s="318">
        <f t="shared" ref="W69:X69" si="34">IF(AND(W16="",W17=""),0,IF(AND(W16="L",W17="L"),"NC",IF(W15="M",0,W15)-IF(W16="M",0,W16)-IF(W17="M",0,W17)))</f>
        <v>0</v>
      </c>
      <c r="X69" s="318">
        <f t="shared" si="34"/>
        <v>0</v>
      </c>
      <c r="Y69" s="363"/>
      <c r="Z69" s="198"/>
      <c r="AA69" s="29"/>
      <c r="BB69" s="315"/>
    </row>
    <row r="70" spans="1:54" s="23" customFormat="1" ht="15.75">
      <c r="A70" s="30"/>
      <c r="B70" s="20"/>
      <c r="C70" s="516" t="s">
        <v>162</v>
      </c>
      <c r="D70" s="318">
        <f>IF(AND(D20="",D21=""),0,IF(AND(D20="L",D21="L"),"NC",IF(D19="M",0,D19)-IF(D20="M",0,D20)-IF(D21="M",0,D21)))</f>
        <v>0</v>
      </c>
      <c r="E70" s="318">
        <f t="shared" ref="E70:S70" si="35">IF(AND(E20="",E21=""),0,IF(AND(E20="L",E21="L"),"NC",IF(E19="M",0,E19)-IF(E20="M",0,E20)-IF(E21="M",0,E21)))</f>
        <v>0</v>
      </c>
      <c r="F70" s="318">
        <f t="shared" si="35"/>
        <v>0</v>
      </c>
      <c r="G70" s="318">
        <f t="shared" si="35"/>
        <v>0</v>
      </c>
      <c r="H70" s="318">
        <f t="shared" si="35"/>
        <v>0</v>
      </c>
      <c r="I70" s="318">
        <f t="shared" si="35"/>
        <v>0</v>
      </c>
      <c r="J70" s="318">
        <f t="shared" si="35"/>
        <v>0</v>
      </c>
      <c r="K70" s="318">
        <f t="shared" si="35"/>
        <v>0</v>
      </c>
      <c r="L70" s="318">
        <f t="shared" si="35"/>
        <v>0</v>
      </c>
      <c r="M70" s="318">
        <f t="shared" si="35"/>
        <v>0</v>
      </c>
      <c r="N70" s="318">
        <f t="shared" si="35"/>
        <v>0</v>
      </c>
      <c r="O70" s="318">
        <f t="shared" si="35"/>
        <v>0</v>
      </c>
      <c r="P70" s="318">
        <f t="shared" si="35"/>
        <v>0</v>
      </c>
      <c r="Q70" s="318">
        <f t="shared" si="35"/>
        <v>0</v>
      </c>
      <c r="R70" s="318">
        <f t="shared" si="35"/>
        <v>0</v>
      </c>
      <c r="S70" s="318">
        <f t="shared" si="35"/>
        <v>0</v>
      </c>
      <c r="T70" s="318">
        <f t="shared" ref="T70:V70" si="36">IF(AND(T20="",T21=""),0,IF(AND(T20="L",T21="L"),"NC",IF(T19="M",0,T19)-IF(T20="M",0,T20)-IF(T21="M",0,T21)))</f>
        <v>0</v>
      </c>
      <c r="U70" s="318">
        <f t="shared" si="36"/>
        <v>0</v>
      </c>
      <c r="V70" s="318">
        <f t="shared" si="36"/>
        <v>0</v>
      </c>
      <c r="W70" s="318">
        <f t="shared" ref="W70:X70" si="37">IF(AND(W20="",W21=""),0,IF(AND(W20="L",W21="L"),"NC",IF(W19="M",0,W19)-IF(W20="M",0,W20)-IF(W21="M",0,W21)))</f>
        <v>0</v>
      </c>
      <c r="X70" s="318">
        <f t="shared" si="37"/>
        <v>0</v>
      </c>
      <c r="Y70" s="363"/>
      <c r="Z70" s="198"/>
      <c r="AA70" s="29"/>
      <c r="BB70" s="315"/>
    </row>
    <row r="71" spans="1:54" s="23" customFormat="1" ht="15.75">
      <c r="A71" s="30"/>
      <c r="B71" s="20"/>
      <c r="C71" s="516" t="s">
        <v>163</v>
      </c>
      <c r="D71" s="318">
        <f>IF(AND(D22="0",D23="0",D24="0"),0,IF(AND(D22="L",D23="L",D24="L"),"NC",IF(D22="M",0,D22)-IF(D23="M",0,D23)-IF(D24="M",0,D24)))</f>
        <v>0</v>
      </c>
      <c r="E71" s="318">
        <f t="shared" ref="E71:S71" si="38">IF(AND(E22="0",E23="0",E24="0"),0,IF(AND(E22="L",E23="L",E24="L"),"NC",IF(E22="M",0,E22)-IF(E23="M",0,E23)-IF(E24="M",0,E24)))</f>
        <v>0</v>
      </c>
      <c r="F71" s="318">
        <f t="shared" si="38"/>
        <v>0</v>
      </c>
      <c r="G71" s="318">
        <f t="shared" si="38"/>
        <v>0</v>
      </c>
      <c r="H71" s="318">
        <f t="shared" si="38"/>
        <v>0</v>
      </c>
      <c r="I71" s="318">
        <f t="shared" si="38"/>
        <v>0</v>
      </c>
      <c r="J71" s="318">
        <f t="shared" si="38"/>
        <v>0</v>
      </c>
      <c r="K71" s="318">
        <f t="shared" si="38"/>
        <v>0</v>
      </c>
      <c r="L71" s="318">
        <f t="shared" si="38"/>
        <v>0</v>
      </c>
      <c r="M71" s="318">
        <f t="shared" si="38"/>
        <v>0</v>
      </c>
      <c r="N71" s="318">
        <f t="shared" si="38"/>
        <v>0</v>
      </c>
      <c r="O71" s="318">
        <f t="shared" si="38"/>
        <v>0</v>
      </c>
      <c r="P71" s="318">
        <f t="shared" si="38"/>
        <v>0</v>
      </c>
      <c r="Q71" s="318">
        <f t="shared" si="38"/>
        <v>0</v>
      </c>
      <c r="R71" s="318">
        <f t="shared" si="38"/>
        <v>0</v>
      </c>
      <c r="S71" s="318">
        <f t="shared" si="38"/>
        <v>0</v>
      </c>
      <c r="T71" s="318">
        <f t="shared" ref="T71:V71" si="39">IF(AND(T22="0",T23="0",T24="0"),0,IF(AND(T22="L",T23="L",T24="L"),"NC",IF(T22="M",0,T22)-IF(T23="M",0,T23)-IF(T24="M",0,T24)))</f>
        <v>0</v>
      </c>
      <c r="U71" s="318">
        <f t="shared" si="39"/>
        <v>0</v>
      </c>
      <c r="V71" s="318">
        <f t="shared" si="39"/>
        <v>0</v>
      </c>
      <c r="W71" s="318">
        <f t="shared" ref="W71:X71" si="40">IF(AND(W22="0",W23="0",W24="0"),0,IF(AND(W22="L",W23="L",W24="L"),"NC",IF(W22="M",0,W22)-IF(W23="M",0,W23)-IF(W24="M",0,W24)))</f>
        <v>0</v>
      </c>
      <c r="X71" s="318">
        <f t="shared" si="40"/>
        <v>0</v>
      </c>
      <c r="Y71" s="363"/>
      <c r="Z71" s="198"/>
      <c r="AA71" s="29"/>
      <c r="BB71" s="315"/>
    </row>
    <row r="72" spans="1:54" s="23" customFormat="1" ht="15.75">
      <c r="A72" s="30"/>
      <c r="B72" s="20"/>
      <c r="C72" s="516" t="s">
        <v>164</v>
      </c>
      <c r="D72" s="318">
        <f>IF(AND(D25="",D26=""),0,IF(AND(D25="L",D26="L"),"NC",IF(D24="M",0,D24)-IF(D25="M",0,D25)-IF(D26="M",0,D26)))</f>
        <v>0</v>
      </c>
      <c r="E72" s="318">
        <f t="shared" ref="E72:S72" si="41">IF(AND(E25="",E26=""),0,IF(AND(E25="L",E26="L"),"NC",IF(E24="M",0,E24)-IF(E25="M",0,E25)-IF(E26="M",0,E26)))</f>
        <v>0</v>
      </c>
      <c r="F72" s="318">
        <f t="shared" si="41"/>
        <v>0</v>
      </c>
      <c r="G72" s="318">
        <f t="shared" si="41"/>
        <v>0</v>
      </c>
      <c r="H72" s="318">
        <f t="shared" si="41"/>
        <v>0</v>
      </c>
      <c r="I72" s="318">
        <f t="shared" si="41"/>
        <v>0</v>
      </c>
      <c r="J72" s="318">
        <f t="shared" si="41"/>
        <v>0</v>
      </c>
      <c r="K72" s="318">
        <f t="shared" si="41"/>
        <v>0</v>
      </c>
      <c r="L72" s="318">
        <f t="shared" si="41"/>
        <v>0</v>
      </c>
      <c r="M72" s="318">
        <f t="shared" si="41"/>
        <v>0</v>
      </c>
      <c r="N72" s="318">
        <f t="shared" si="41"/>
        <v>0</v>
      </c>
      <c r="O72" s="318">
        <f t="shared" si="41"/>
        <v>0</v>
      </c>
      <c r="P72" s="318">
        <f t="shared" si="41"/>
        <v>0</v>
      </c>
      <c r="Q72" s="318">
        <f t="shared" si="41"/>
        <v>0</v>
      </c>
      <c r="R72" s="318">
        <f t="shared" si="41"/>
        <v>0</v>
      </c>
      <c r="S72" s="318">
        <f t="shared" si="41"/>
        <v>0</v>
      </c>
      <c r="T72" s="318">
        <f t="shared" ref="T72:V72" si="42">IF(AND(T25="",T26=""),0,IF(AND(T25="L",T26="L"),"NC",IF(T24="M",0,T24)-IF(T25="M",0,T25)-IF(T26="M",0,T26)))</f>
        <v>0</v>
      </c>
      <c r="U72" s="318">
        <f t="shared" si="42"/>
        <v>0</v>
      </c>
      <c r="V72" s="318">
        <f t="shared" si="42"/>
        <v>0</v>
      </c>
      <c r="W72" s="318">
        <f t="shared" ref="W72:X72" si="43">IF(AND(W25="",W26=""),0,IF(AND(W25="L",W26="L"),"NC",IF(W24="M",0,W24)-IF(W25="M",0,W25)-IF(W26="M",0,W26)))</f>
        <v>0</v>
      </c>
      <c r="X72" s="318">
        <f t="shared" si="43"/>
        <v>0</v>
      </c>
      <c r="Y72" s="363"/>
      <c r="Z72" s="198"/>
      <c r="AA72" s="29"/>
      <c r="BB72" s="315"/>
    </row>
    <row r="73" spans="1:54" s="23" customFormat="1" ht="23.25">
      <c r="A73" s="30"/>
      <c r="B73" s="20"/>
      <c r="C73" s="317" t="s">
        <v>528</v>
      </c>
      <c r="D73" s="318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318">
        <f t="shared" ref="E73:S73" si="44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318">
        <f t="shared" si="44"/>
        <v>0</v>
      </c>
      <c r="G73" s="318">
        <f t="shared" si="44"/>
        <v>1.8189894035458565E-12</v>
      </c>
      <c r="H73" s="318">
        <f t="shared" si="44"/>
        <v>0</v>
      </c>
      <c r="I73" s="318">
        <f t="shared" si="44"/>
        <v>-1.8189894035458565E-12</v>
      </c>
      <c r="J73" s="318">
        <f t="shared" si="44"/>
        <v>0</v>
      </c>
      <c r="K73" s="318">
        <f t="shared" si="44"/>
        <v>0</v>
      </c>
      <c r="L73" s="318">
        <f t="shared" si="44"/>
        <v>0</v>
      </c>
      <c r="M73" s="318">
        <f t="shared" si="44"/>
        <v>0</v>
      </c>
      <c r="N73" s="318">
        <f t="shared" si="44"/>
        <v>0</v>
      </c>
      <c r="O73" s="318">
        <f t="shared" si="44"/>
        <v>0</v>
      </c>
      <c r="P73" s="318">
        <f t="shared" si="44"/>
        <v>0</v>
      </c>
      <c r="Q73" s="318">
        <f t="shared" si="44"/>
        <v>0</v>
      </c>
      <c r="R73" s="318">
        <f t="shared" si="44"/>
        <v>0</v>
      </c>
      <c r="S73" s="318">
        <f t="shared" si="44"/>
        <v>-2.2737367544323206E-13</v>
      </c>
      <c r="T73" s="318">
        <f t="shared" ref="T73:V73" si="45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318">
        <f t="shared" si="45"/>
        <v>0</v>
      </c>
      <c r="V73" s="318">
        <f t="shared" si="45"/>
        <v>0</v>
      </c>
      <c r="W73" s="318">
        <f t="shared" ref="W73:X73" si="46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0</v>
      </c>
      <c r="X73" s="318">
        <f t="shared" si="46"/>
        <v>0</v>
      </c>
      <c r="Y73" s="363"/>
      <c r="Z73" s="198"/>
      <c r="AA73" s="29"/>
      <c r="BB73" s="315"/>
    </row>
    <row r="74" spans="1:54" s="23" customFormat="1" ht="15.75">
      <c r="A74" s="30"/>
      <c r="B74" s="20"/>
      <c r="C74" s="317" t="s">
        <v>165</v>
      </c>
      <c r="D74" s="318">
        <f>IF(AND(D44="0",D45="0",D46="0"),0,IF(AND(D44="L",D45="L",D46="L"),"NC",IF(D44="M",0,D44)-IF(D45="M",0,D45)-IF(D46="M",0,D46)))</f>
        <v>0</v>
      </c>
      <c r="E74" s="318">
        <f t="shared" ref="E74:S74" si="47">IF(AND(E44="0",E45="0",E46="0"),0,IF(AND(E44="L",E45="L",E46="L"),"NC",IF(E44="M",0,E44)-IF(E45="M",0,E45)-IF(E46="M",0,E46)))</f>
        <v>0</v>
      </c>
      <c r="F74" s="318">
        <f t="shared" si="47"/>
        <v>0</v>
      </c>
      <c r="G74" s="318">
        <f t="shared" si="47"/>
        <v>0</v>
      </c>
      <c r="H74" s="318">
        <f t="shared" si="47"/>
        <v>0</v>
      </c>
      <c r="I74" s="318">
        <f t="shared" si="47"/>
        <v>0</v>
      </c>
      <c r="J74" s="318">
        <f t="shared" si="47"/>
        <v>0</v>
      </c>
      <c r="K74" s="318">
        <f t="shared" si="47"/>
        <v>0</v>
      </c>
      <c r="L74" s="318">
        <f t="shared" si="47"/>
        <v>0</v>
      </c>
      <c r="M74" s="318">
        <f t="shared" si="47"/>
        <v>0</v>
      </c>
      <c r="N74" s="318">
        <f t="shared" si="47"/>
        <v>0</v>
      </c>
      <c r="O74" s="318">
        <f t="shared" si="47"/>
        <v>0</v>
      </c>
      <c r="P74" s="318">
        <f t="shared" si="47"/>
        <v>0</v>
      </c>
      <c r="Q74" s="318">
        <f t="shared" si="47"/>
        <v>0</v>
      </c>
      <c r="R74" s="318">
        <f t="shared" si="47"/>
        <v>0</v>
      </c>
      <c r="S74" s="318">
        <f t="shared" si="47"/>
        <v>0</v>
      </c>
      <c r="T74" s="318">
        <f t="shared" ref="T74:V74" si="48">IF(AND(T44="0",T45="0",T46="0"),0,IF(AND(T44="L",T45="L",T46="L"),"NC",IF(T44="M",0,T44)-IF(T45="M",0,T45)-IF(T46="M",0,T46)))</f>
        <v>0</v>
      </c>
      <c r="U74" s="318">
        <f t="shared" si="48"/>
        <v>0</v>
      </c>
      <c r="V74" s="318">
        <f t="shared" si="48"/>
        <v>0</v>
      </c>
      <c r="W74" s="318">
        <f t="shared" ref="W74:X74" si="49">IF(AND(W44="0",W45="0",W46="0"),0,IF(AND(W44="L",W45="L",W46="L"),"NC",IF(W44="M",0,W44)-IF(W45="M",0,W45)-IF(W46="M",0,W46)))</f>
        <v>0</v>
      </c>
      <c r="X74" s="318">
        <f t="shared" si="49"/>
        <v>0</v>
      </c>
      <c r="Y74" s="197"/>
      <c r="Z74" s="198"/>
      <c r="BB74" s="315"/>
    </row>
    <row r="75" spans="1:54" s="23" customFormat="1" ht="15.75">
      <c r="A75" s="30"/>
      <c r="B75" s="20"/>
      <c r="C75" s="317" t="s">
        <v>143</v>
      </c>
      <c r="D75" s="318">
        <f>IF(AND(D51="0",D52="0",D53="0"),0,IF(AND(D51="L",D52="L",D53="L"),"NC",IF(D51="M",0,D51)-IF(D52="M",0,D52)+IF(D53="M",0,D53)))</f>
        <v>0</v>
      </c>
      <c r="E75" s="318">
        <f t="shared" ref="E75:S75" si="50">IF(AND(E51="0",E52="0",E53="0"),0,IF(AND(E51="L",E52="L",E53="L"),"NC",IF(E51="M",0,E51)-IF(E52="M",0,E52)+IF(E53="M",0,E53)))</f>
        <v>0</v>
      </c>
      <c r="F75" s="318">
        <f t="shared" si="50"/>
        <v>0</v>
      </c>
      <c r="G75" s="318">
        <f t="shared" si="50"/>
        <v>0</v>
      </c>
      <c r="H75" s="318">
        <f t="shared" si="50"/>
        <v>0</v>
      </c>
      <c r="I75" s="318">
        <f t="shared" si="50"/>
        <v>0</v>
      </c>
      <c r="J75" s="318">
        <f t="shared" si="50"/>
        <v>0</v>
      </c>
      <c r="K75" s="318">
        <f t="shared" si="50"/>
        <v>0</v>
      </c>
      <c r="L75" s="318">
        <f t="shared" si="50"/>
        <v>0</v>
      </c>
      <c r="M75" s="318">
        <f t="shared" si="50"/>
        <v>0</v>
      </c>
      <c r="N75" s="318">
        <f t="shared" si="50"/>
        <v>0</v>
      </c>
      <c r="O75" s="318">
        <f t="shared" si="50"/>
        <v>0</v>
      </c>
      <c r="P75" s="318">
        <f t="shared" si="50"/>
        <v>0</v>
      </c>
      <c r="Q75" s="318">
        <f t="shared" si="50"/>
        <v>0</v>
      </c>
      <c r="R75" s="318">
        <f t="shared" si="50"/>
        <v>0</v>
      </c>
      <c r="S75" s="318">
        <f t="shared" si="50"/>
        <v>0</v>
      </c>
      <c r="T75" s="318">
        <f t="shared" ref="T75:V75" si="51">IF(AND(T51="0",T52="0",T53="0"),0,IF(AND(T51="L",T52="L",T53="L"),"NC",IF(T51="M",0,T51)-IF(T52="M",0,T52)+IF(T53="M",0,T53)))</f>
        <v>0</v>
      </c>
      <c r="U75" s="318">
        <f t="shared" si="51"/>
        <v>0</v>
      </c>
      <c r="V75" s="318">
        <f t="shared" si="51"/>
        <v>0</v>
      </c>
      <c r="W75" s="318">
        <f t="shared" ref="W75:X75" si="52">IF(AND(W51="0",W52="0",W53="0"),0,IF(AND(W51="L",W52="L",W53="L"),"NC",IF(W51="M",0,W51)-IF(W52="M",0,W52)+IF(W53="M",0,W53)))</f>
        <v>0</v>
      </c>
      <c r="X75" s="318">
        <f t="shared" si="52"/>
        <v>3.637978807091713E-12</v>
      </c>
      <c r="Y75" s="197"/>
      <c r="Z75" s="198"/>
      <c r="BB75" s="315"/>
    </row>
    <row r="76" spans="1:54" s="23" customFormat="1" ht="15.75">
      <c r="A76" s="30"/>
      <c r="B76" s="20"/>
      <c r="C76" s="319" t="s">
        <v>127</v>
      </c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197"/>
      <c r="Z76" s="198"/>
      <c r="BB76" s="315"/>
    </row>
    <row r="77" spans="1:54" s="23" customFormat="1" ht="15.75">
      <c r="A77" s="30"/>
      <c r="B77" s="20"/>
      <c r="C77" s="320" t="s">
        <v>166</v>
      </c>
      <c r="D77" s="203">
        <f>IF(AND('Table 1'!E13="0",D10="0"),0,IF(AND('Table 1'!E13="L",D10="L"),"NC",IF('Table 1'!E13="M",0,'Table 1'!E13)+IF(D10="M",0,D10)))</f>
        <v>0</v>
      </c>
      <c r="E77" s="203">
        <f>IF(AND('Table 1'!F13="0",E10="0"),0,IF(AND('Table 1'!F13="L",E10="L"),"NC",IF('Table 1'!F13="M",0,'Table 1'!F13)+IF(E10="M",0,E10)))</f>
        <v>0</v>
      </c>
      <c r="F77" s="203">
        <f>IF(AND('Table 1'!G13="0",F10="0"),0,IF(AND('Table 1'!G13="L",F10="L"),"NC",IF('Table 1'!G13="M",0,'Table 1'!G13)+IF(F10="M",0,F10)))</f>
        <v>0</v>
      </c>
      <c r="G77" s="203">
        <f>IF(AND('Table 1'!H13="0",G10="0"),0,IF(AND('Table 1'!H13="L",G10="L"),"NC",IF('Table 1'!H13="M",0,'Table 1'!H13)+IF(G10="M",0,G10)))</f>
        <v>0</v>
      </c>
      <c r="H77" s="203">
        <f>IF(AND('Table 1'!I13="0",H10="0"),0,IF(AND('Table 1'!I13="L",H10="L"),"NC",IF('Table 1'!I13="M",0,'Table 1'!I13)+IF(H10="M",0,H10)))</f>
        <v>0</v>
      </c>
      <c r="I77" s="203">
        <f>IF(AND('Table 1'!J13="0",I10="0"),0,IF(AND('Table 1'!J13="L",I10="L"),"NC",IF('Table 1'!J13="M",0,'Table 1'!J13)+IF(I10="M",0,I10)))</f>
        <v>0</v>
      </c>
      <c r="J77" s="203">
        <f>IF(AND('Table 1'!K13="0",J10="0"),0,IF(AND('Table 1'!K13="L",J10="L"),"NC",IF('Table 1'!K13="M",0,'Table 1'!K13)+IF(J10="M",0,J10)))</f>
        <v>0</v>
      </c>
      <c r="K77" s="203">
        <f>IF(AND('Table 1'!L13="0",K10="0"),0,IF(AND('Table 1'!L13="L",K10="L"),"NC",IF('Table 1'!L13="M",0,'Table 1'!L13)+IF(K10="M",0,K10)))</f>
        <v>0</v>
      </c>
      <c r="L77" s="203">
        <f>IF(AND('Table 1'!M13="0",L10="0"),0,IF(AND('Table 1'!M13="L",L10="L"),"NC",IF('Table 1'!M13="M",0,'Table 1'!M13)+IF(L10="M",0,L10)))</f>
        <v>0</v>
      </c>
      <c r="M77" s="203">
        <f>IF(AND('Table 1'!N13="0",M10="0"),0,IF(AND('Table 1'!N13="L",M10="L"),"NC",IF('Table 1'!N13="M",0,'Table 1'!N13)+IF(M10="M",0,M10)))</f>
        <v>0</v>
      </c>
      <c r="N77" s="203">
        <f>IF(AND('Table 1'!O13="0",N10="0"),0,IF(AND('Table 1'!O13="L",N10="L"),"NC",IF('Table 1'!O13="M",0,'Table 1'!O13)+IF(N10="M",0,N10)))</f>
        <v>0</v>
      </c>
      <c r="O77" s="203">
        <f>IF(AND('Table 1'!P13="0",O10="0"),0,IF(AND('Table 1'!P13="L",O10="L"),"NC",IF('Table 1'!P13="M",0,'Table 1'!P13)+IF(O10="M",0,O10)))</f>
        <v>0</v>
      </c>
      <c r="P77" s="203">
        <f>IF(AND('Table 1'!Q13="0",P10="0"),0,IF(AND('Table 1'!Q13="L",P10="L"),"NC",IF('Table 1'!Q13="M",0,'Table 1'!Q13)+IF(P10="M",0,P10)))</f>
        <v>0</v>
      </c>
      <c r="Q77" s="203">
        <f>IF(AND('Table 1'!R13="0",Q10="0"),0,IF(AND('Table 1'!R13="L",Q10="L"),"NC",IF('Table 1'!R13="M",0,'Table 1'!R13)+IF(Q10="M",0,Q10)))</f>
        <v>0</v>
      </c>
      <c r="R77" s="203">
        <f>IF(AND('Table 1'!S13="0",R10="0"),0,IF(AND('Table 1'!S13="L",R10="L"),"NC",IF('Table 1'!S13="M",0,'Table 1'!S13)+IF(R10="M",0,R10)))</f>
        <v>0</v>
      </c>
      <c r="S77" s="203">
        <f>IF(AND('Table 1'!T13="0",S10="0"),0,IF(AND('Table 1'!T13="L",S10="L"),"NC",IF('Table 1'!T13="M",0,'Table 1'!T13)+IF(S10="M",0,S10)))</f>
        <v>0</v>
      </c>
      <c r="T77" s="203">
        <f>IF(AND('Table 1'!U13="0",T10="0"),0,IF(AND('Table 1'!U13="L",T10="L"),"NC",IF('Table 1'!U13="M",0,'Table 1'!U13)+IF(T10="M",0,T10)))</f>
        <v>0</v>
      </c>
      <c r="U77" s="203">
        <f>IF(AND('Table 1'!V13="0",U10="0"),0,IF(AND('Table 1'!V13="L",U10="L"),"NC",IF('Table 1'!V13="M",0,'Table 1'!V13)+IF(U10="M",0,U10)))</f>
        <v>0</v>
      </c>
      <c r="V77" s="203">
        <f>IF(AND('Table 1'!W13="0",V10="0"),0,IF(AND('Table 1'!W13="L",V10="L"),"NC",IF('Table 1'!W13="M",0,'Table 1'!W13)+IF(V10="M",0,V10)))</f>
        <v>0</v>
      </c>
      <c r="W77" s="203">
        <f>IF(AND('Table 1'!X13="0",W10="0"),0,IF(AND('Table 1'!X13="L",W10="L"),"NC",IF('Table 1'!X13="M",0,'Table 1'!X13)+IF(W10="M",0,W10)))</f>
        <v>0</v>
      </c>
      <c r="X77" s="203">
        <f>IF(AND('Table 1'!Y13="0",X10="0"),0,IF(AND('Table 1'!Y13="L",X10="L"),"NC",IF('Table 1'!Y13="M",0,'Table 1'!Y13)+IF(X10="M",0,X10)))</f>
        <v>0</v>
      </c>
      <c r="Y77" s="321"/>
      <c r="Z77" s="322"/>
      <c r="BB77" s="315"/>
    </row>
  </sheetData>
  <sheetProtection algorithmName="SHA-512" hashValue="PifbPFcbEkQIOqWtc80XMhDNPjPrF4Gi73+Y5K0anTG1ueICA5O29WpfN0jy2YJ65mMeYhJIf1Q+Cq52ibnxCQ==" saltValue="s0pESO9Awo+VHkN2hJljJw==" spinCount="100000" sheet="1" objects="1" formatColumns="0" formatRows="0" insertHyperlinks="0"/>
  <mergeCells count="2">
    <mergeCell ref="D6:X6"/>
    <mergeCell ref="D64:X64"/>
  </mergeCells>
  <phoneticPr fontId="35" type="noConversion"/>
  <conditionalFormatting sqref="D10:X10 D13:X29 D32:X34 D36:X38 D40:X42 D44:X46 D48:X48 D51:X53">
    <cfRule type="cellIs" dxfId="5" priority="3" operator="equal">
      <formula>""</formula>
    </cfRule>
  </conditionalFormatting>
  <conditionalFormatting sqref="D64">
    <cfRule type="expression" dxfId="4" priority="182" stopIfTrue="1">
      <formula>COUNTA(D10:V10,D12:V29,D31:V34,D36:V38,D40:V42,D44:V46,D48:V48,D51:V53)/684*100&lt;&gt;100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BB77"/>
  <sheetViews>
    <sheetView showGridLines="0" defaultGridColor="0" topLeftCell="B1" colorId="22" zoomScale="70" zoomScaleNormal="70" zoomScaleSheetLayoutView="80" workbookViewId="0"/>
  </sheetViews>
  <sheetFormatPr defaultColWidth="9.77734375" defaultRowHeight="15"/>
  <cols>
    <col min="1" max="1" width="37.5546875" style="30" hidden="1" customWidth="1"/>
    <col min="2" max="2" width="1.21875" style="20" customWidth="1"/>
    <col min="3" max="3" width="68.44140625" style="25" customWidth="1"/>
    <col min="4" max="24" width="13.33203125" style="10" customWidth="1"/>
    <col min="25" max="25" width="86.6640625" style="10" customWidth="1"/>
    <col min="26" max="26" width="5.33203125" style="10" customWidth="1"/>
    <col min="27" max="27" width="1" style="10" customWidth="1"/>
    <col min="28" max="28" width="0.5546875" style="10" customWidth="1"/>
    <col min="29" max="29" width="9.77734375" style="10"/>
    <col min="30" max="30" width="9.6640625" style="10" customWidth="1"/>
    <col min="31" max="31" width="13.109375" style="10" customWidth="1"/>
    <col min="32" max="32" width="9.33203125" style="10" customWidth="1"/>
    <col min="33" max="53" width="9.77734375" style="10"/>
    <col min="54" max="54" width="9.77734375" style="283"/>
    <col min="55" max="16384" width="9.77734375" style="10"/>
  </cols>
  <sheetData>
    <row r="1" spans="1:54" ht="9.75" customHeight="1">
      <c r="A1" s="24"/>
      <c r="B1" s="24"/>
      <c r="C1" s="378"/>
      <c r="D1" s="19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26"/>
      <c r="Z1" s="26"/>
      <c r="AB1" s="13"/>
      <c r="AC1" s="219" t="s">
        <v>1014</v>
      </c>
      <c r="AD1" s="219">
        <v>3</v>
      </c>
      <c r="AE1" s="219">
        <v>4</v>
      </c>
      <c r="AF1" s="219">
        <v>5</v>
      </c>
      <c r="AG1" s="219">
        <v>6</v>
      </c>
      <c r="AH1" s="219">
        <f>AG1+1</f>
        <v>7</v>
      </c>
      <c r="AI1" s="219">
        <f t="shared" ref="AI1:AT1" si="0">AH1+1</f>
        <v>8</v>
      </c>
      <c r="AJ1" s="219">
        <f t="shared" si="0"/>
        <v>9</v>
      </c>
      <c r="AK1" s="219">
        <f t="shared" si="0"/>
        <v>10</v>
      </c>
      <c r="AL1" s="219">
        <f t="shared" si="0"/>
        <v>11</v>
      </c>
      <c r="AM1" s="219">
        <f t="shared" si="0"/>
        <v>12</v>
      </c>
      <c r="AN1" s="219">
        <f t="shared" si="0"/>
        <v>13</v>
      </c>
      <c r="AO1" s="219">
        <f t="shared" si="0"/>
        <v>14</v>
      </c>
      <c r="AP1" s="219">
        <f t="shared" si="0"/>
        <v>15</v>
      </c>
      <c r="AQ1" s="219">
        <f t="shared" si="0"/>
        <v>16</v>
      </c>
      <c r="AR1" s="219">
        <f t="shared" si="0"/>
        <v>17</v>
      </c>
      <c r="AS1" s="219">
        <f t="shared" si="0"/>
        <v>18</v>
      </c>
      <c r="AT1" s="219">
        <f t="shared" si="0"/>
        <v>19</v>
      </c>
    </row>
    <row r="2" spans="1:54" ht="18">
      <c r="B2" s="30" t="s">
        <v>35</v>
      </c>
      <c r="C2" s="293" t="s">
        <v>589</v>
      </c>
      <c r="D2" s="22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AB2" s="13"/>
      <c r="AC2" s="219">
        <f>IF($AC$1='Cover page'!$N$2,0,1)</f>
        <v>0</v>
      </c>
    </row>
    <row r="3" spans="1:54" ht="18">
      <c r="B3" s="30"/>
      <c r="C3" s="293" t="s">
        <v>58</v>
      </c>
      <c r="D3" s="22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AB3" s="13"/>
    </row>
    <row r="4" spans="1:54" ht="16.5" thickBot="1">
      <c r="B4" s="30"/>
      <c r="C4" s="344"/>
      <c r="D4" s="367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AB4" s="13"/>
    </row>
    <row r="5" spans="1:54" ht="16.5" thickTop="1">
      <c r="A5" s="157"/>
      <c r="B5" s="167"/>
      <c r="C5" s="296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40"/>
      <c r="Z5" s="41"/>
      <c r="AB5" s="13"/>
    </row>
    <row r="6" spans="1:54" ht="15.75">
      <c r="A6" s="151"/>
      <c r="B6" s="150"/>
      <c r="C6" s="224" t="str">
        <f>'Cover page'!E13</f>
        <v>Member State: Hungary</v>
      </c>
      <c r="D6" s="538" t="s">
        <v>2</v>
      </c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39"/>
      <c r="S6" s="539"/>
      <c r="T6" s="539"/>
      <c r="U6" s="539"/>
      <c r="V6" s="539"/>
      <c r="W6" s="539"/>
      <c r="X6" s="539"/>
      <c r="Y6" s="43"/>
      <c r="Z6" s="50"/>
    </row>
    <row r="7" spans="1:54" ht="15.75">
      <c r="A7" s="234"/>
      <c r="B7" s="327" t="s">
        <v>485</v>
      </c>
      <c r="C7" s="22" t="s">
        <v>1018</v>
      </c>
      <c r="D7" s="299">
        <f>'Table 1'!E5</f>
        <v>1995</v>
      </c>
      <c r="E7" s="299">
        <f>D7+1</f>
        <v>1996</v>
      </c>
      <c r="F7" s="299">
        <f t="shared" ref="F7:I7" si="1">E7+1</f>
        <v>1997</v>
      </c>
      <c r="G7" s="299">
        <f t="shared" si="1"/>
        <v>1998</v>
      </c>
      <c r="H7" s="299">
        <f t="shared" si="1"/>
        <v>1999</v>
      </c>
      <c r="I7" s="299">
        <f t="shared" si="1"/>
        <v>2000</v>
      </c>
      <c r="J7" s="299">
        <f t="shared" ref="J7" si="2">I7+1</f>
        <v>2001</v>
      </c>
      <c r="K7" s="299">
        <f t="shared" ref="K7" si="3">J7+1</f>
        <v>2002</v>
      </c>
      <c r="L7" s="299">
        <f t="shared" ref="L7" si="4">K7+1</f>
        <v>2003</v>
      </c>
      <c r="M7" s="299">
        <f t="shared" ref="M7" si="5">L7+1</f>
        <v>2004</v>
      </c>
      <c r="N7" s="299">
        <f t="shared" ref="N7" si="6">M7+1</f>
        <v>2005</v>
      </c>
      <c r="O7" s="299">
        <f t="shared" ref="O7" si="7">N7+1</f>
        <v>2006</v>
      </c>
      <c r="P7" s="299">
        <f t="shared" ref="P7" si="8">O7+1</f>
        <v>2007</v>
      </c>
      <c r="Q7" s="299">
        <f t="shared" ref="Q7" si="9">P7+1</f>
        <v>2008</v>
      </c>
      <c r="R7" s="299">
        <f t="shared" ref="R7" si="10">Q7+1</f>
        <v>2009</v>
      </c>
      <c r="S7" s="299">
        <f t="shared" ref="S7" si="11">R7+1</f>
        <v>2010</v>
      </c>
      <c r="T7" s="299">
        <f t="shared" ref="T7" si="12">S7+1</f>
        <v>2011</v>
      </c>
      <c r="U7" s="299">
        <f t="shared" ref="U7" si="13">T7+1</f>
        <v>2012</v>
      </c>
      <c r="V7" s="299">
        <f t="shared" ref="V7:X7" si="14">U7+1</f>
        <v>2013</v>
      </c>
      <c r="W7" s="299">
        <f t="shared" si="14"/>
        <v>2014</v>
      </c>
      <c r="X7" s="299">
        <f t="shared" si="14"/>
        <v>2015</v>
      </c>
      <c r="Y7" s="45"/>
      <c r="Z7" s="50"/>
    </row>
    <row r="8" spans="1:54" ht="15.75">
      <c r="A8" s="234"/>
      <c r="B8" s="288"/>
      <c r="C8" s="238" t="str">
        <f>'Cover page'!E14</f>
        <v>Date: 09/04/2020</v>
      </c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493"/>
      <c r="W8" s="493"/>
      <c r="X8" s="493"/>
      <c r="Y8" s="55"/>
      <c r="Z8" s="50"/>
    </row>
    <row r="9" spans="1:54" ht="10.5" customHeight="1" thickBot="1">
      <c r="A9" s="234"/>
      <c r="B9" s="289"/>
      <c r="C9" s="29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88"/>
      <c r="W9" s="488"/>
      <c r="X9" s="488"/>
      <c r="Y9" s="63"/>
      <c r="Z9" s="50"/>
    </row>
    <row r="10" spans="1:54" ht="17.25" thickTop="1" thickBot="1">
      <c r="A10" s="290" t="s">
        <v>408</v>
      </c>
      <c r="B10" s="414" t="s">
        <v>871</v>
      </c>
      <c r="C10" s="312" t="s">
        <v>572</v>
      </c>
      <c r="D10" s="86">
        <v>-114</v>
      </c>
      <c r="E10" s="86">
        <v>-41592</v>
      </c>
      <c r="F10" s="86">
        <v>-8720</v>
      </c>
      <c r="G10" s="86">
        <v>35422</v>
      </c>
      <c r="H10" s="86">
        <v>18781</v>
      </c>
      <c r="I10" s="86">
        <v>14537.002999999924</v>
      </c>
      <c r="J10" s="86">
        <v>-70489.000000000029</v>
      </c>
      <c r="K10" s="86">
        <v>51352</v>
      </c>
      <c r="L10" s="86">
        <v>241855</v>
      </c>
      <c r="M10" s="86">
        <v>61672</v>
      </c>
      <c r="N10" s="86">
        <v>37323</v>
      </c>
      <c r="O10" s="86">
        <v>-376953</v>
      </c>
      <c r="P10" s="86">
        <v>-177173</v>
      </c>
      <c r="Q10" s="86">
        <v>80496</v>
      </c>
      <c r="R10" s="86">
        <v>109919</v>
      </c>
      <c r="S10" s="86">
        <v>-47124</v>
      </c>
      <c r="T10" s="86">
        <v>-7727</v>
      </c>
      <c r="U10" s="86">
        <v>4085</v>
      </c>
      <c r="V10" s="87">
        <v>-136789</v>
      </c>
      <c r="W10" s="87">
        <v>-42538.5</v>
      </c>
      <c r="X10" s="87">
        <v>-2897.4359999995577</v>
      </c>
      <c r="Y10" s="4"/>
      <c r="Z10" s="50"/>
      <c r="BB10" s="283" t="str">
        <f>CountryCode &amp; ".T3.B9.S1314.MNAC." &amp; RefVintage</f>
        <v>HU.T3.B9.S1314.MNAC.W.2020</v>
      </c>
    </row>
    <row r="11" spans="1:54" ht="6" customHeight="1" thickTop="1">
      <c r="A11" s="290"/>
      <c r="B11" s="150"/>
      <c r="C11" s="352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88"/>
      <c r="X11" s="88"/>
      <c r="Y11" s="7"/>
      <c r="Z11" s="50"/>
    </row>
    <row r="12" spans="1:54" s="18" customFormat="1" ht="16.5" customHeight="1">
      <c r="A12" s="290" t="s">
        <v>409</v>
      </c>
      <c r="B12" s="414" t="s">
        <v>872</v>
      </c>
      <c r="C12" s="353" t="s">
        <v>93</v>
      </c>
      <c r="D12" s="213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17356</v>
      </c>
      <c r="E12" s="213">
        <f t="shared" si="15"/>
        <v>16649</v>
      </c>
      <c r="F12" s="213">
        <f t="shared" si="15"/>
        <v>31804</v>
      </c>
      <c r="G12" s="213">
        <f t="shared" si="15"/>
        <v>-3745</v>
      </c>
      <c r="H12" s="213">
        <f t="shared" si="15"/>
        <v>-69599</v>
      </c>
      <c r="I12" s="213">
        <f t="shared" si="15"/>
        <v>22778.000000000004</v>
      </c>
      <c r="J12" s="213">
        <f t="shared" si="15"/>
        <v>16714</v>
      </c>
      <c r="K12" s="213">
        <f t="shared" si="15"/>
        <v>37148</v>
      </c>
      <c r="L12" s="213">
        <f t="shared" si="15"/>
        <v>13202</v>
      </c>
      <c r="M12" s="213">
        <f t="shared" si="15"/>
        <v>21339</v>
      </c>
      <c r="N12" s="213">
        <f t="shared" si="15"/>
        <v>-6764</v>
      </c>
      <c r="O12" s="213">
        <f t="shared" si="15"/>
        <v>49768</v>
      </c>
      <c r="P12" s="213">
        <f t="shared" si="15"/>
        <v>58881</v>
      </c>
      <c r="Q12" s="213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-19201</v>
      </c>
      <c r="R12" s="213">
        <f t="shared" si="16"/>
        <v>-36916</v>
      </c>
      <c r="S12" s="213">
        <f t="shared" si="16"/>
        <v>-350</v>
      </c>
      <c r="T12" s="213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24465</v>
      </c>
      <c r="U12" s="213">
        <f t="shared" si="17"/>
        <v>20048</v>
      </c>
      <c r="V12" s="213">
        <f t="shared" si="17"/>
        <v>28124</v>
      </c>
      <c r="W12" s="213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33306</v>
      </c>
      <c r="X12" s="213">
        <f t="shared" si="18"/>
        <v>30058</v>
      </c>
      <c r="Y12" s="138"/>
      <c r="Z12" s="64"/>
      <c r="BB12" s="509" t="str">
        <f>CountryCode &amp; ".T3.FA.S1314.MNAC." &amp; RefVintage</f>
        <v>HU.T3.FA.S1314.MNAC.W.2020</v>
      </c>
    </row>
    <row r="13" spans="1:54" s="18" customFormat="1" ht="16.5" customHeight="1">
      <c r="A13" s="290" t="s">
        <v>410</v>
      </c>
      <c r="B13" s="414" t="s">
        <v>873</v>
      </c>
      <c r="C13" s="354" t="s">
        <v>61</v>
      </c>
      <c r="D13" s="100">
        <v>1460</v>
      </c>
      <c r="E13" s="100">
        <v>384</v>
      </c>
      <c r="F13" s="100">
        <v>2775</v>
      </c>
      <c r="G13" s="100">
        <v>-7475</v>
      </c>
      <c r="H13" s="100">
        <v>4</v>
      </c>
      <c r="I13" s="100">
        <v>-159</v>
      </c>
      <c r="J13" s="100">
        <v>0</v>
      </c>
      <c r="K13" s="100">
        <v>0</v>
      </c>
      <c r="L13" s="100">
        <v>4579</v>
      </c>
      <c r="M13" s="100">
        <v>1100</v>
      </c>
      <c r="N13" s="100">
        <v>-1845</v>
      </c>
      <c r="O13" s="100">
        <v>5848</v>
      </c>
      <c r="P13" s="100">
        <v>39772</v>
      </c>
      <c r="Q13" s="100">
        <v>-9619</v>
      </c>
      <c r="R13" s="100">
        <v>-21728</v>
      </c>
      <c r="S13" s="100">
        <v>-1326</v>
      </c>
      <c r="T13" s="100">
        <v>-2785</v>
      </c>
      <c r="U13" s="100">
        <v>-8511</v>
      </c>
      <c r="V13" s="100">
        <v>-1501</v>
      </c>
      <c r="W13" s="100">
        <v>5446</v>
      </c>
      <c r="X13" s="100">
        <v>4734</v>
      </c>
      <c r="Y13" s="99"/>
      <c r="Z13" s="64"/>
      <c r="BB13" s="509" t="str">
        <f>CountryCode &amp; ".T3.F2.S1314.MNAC." &amp; RefVintage</f>
        <v>HU.T3.F2.S1314.MNAC.W.2020</v>
      </c>
    </row>
    <row r="14" spans="1:54" s="18" customFormat="1" ht="16.5" customHeight="1">
      <c r="A14" s="290" t="s">
        <v>411</v>
      </c>
      <c r="B14" s="414" t="s">
        <v>874</v>
      </c>
      <c r="C14" s="354" t="s">
        <v>473</v>
      </c>
      <c r="D14" s="100">
        <v>-5682</v>
      </c>
      <c r="E14" s="100">
        <v>-1601</v>
      </c>
      <c r="F14" s="100">
        <v>-599</v>
      </c>
      <c r="G14" s="100">
        <v>-2001</v>
      </c>
      <c r="H14" s="100">
        <v>-7570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0</v>
      </c>
      <c r="V14" s="100">
        <v>0</v>
      </c>
      <c r="W14" s="100">
        <v>0</v>
      </c>
      <c r="X14" s="100">
        <v>0</v>
      </c>
      <c r="Y14" s="99"/>
      <c r="Z14" s="64"/>
      <c r="BB14" s="509" t="str">
        <f>CountryCode &amp; ".T3.F3.S1314.MNAC." &amp; RefVintage</f>
        <v>HU.T3.F3.S1314.MNAC.W.2020</v>
      </c>
    </row>
    <row r="15" spans="1:54" s="18" customFormat="1" ht="16.5" customHeight="1">
      <c r="A15" s="290" t="s">
        <v>412</v>
      </c>
      <c r="B15" s="414" t="s">
        <v>875</v>
      </c>
      <c r="C15" s="354" t="s">
        <v>36</v>
      </c>
      <c r="D15" s="100">
        <v>25</v>
      </c>
      <c r="E15" s="100">
        <v>60</v>
      </c>
      <c r="F15" s="100">
        <v>18</v>
      </c>
      <c r="G15" s="100">
        <v>52</v>
      </c>
      <c r="H15" s="100">
        <v>41</v>
      </c>
      <c r="I15" s="100">
        <v>65</v>
      </c>
      <c r="J15" s="100">
        <v>169</v>
      </c>
      <c r="K15" s="100">
        <v>-93</v>
      </c>
      <c r="L15" s="100">
        <v>47</v>
      </c>
      <c r="M15" s="100">
        <v>70</v>
      </c>
      <c r="N15" s="100">
        <v>41</v>
      </c>
      <c r="O15" s="100">
        <v>31</v>
      </c>
      <c r="P15" s="100">
        <v>-48</v>
      </c>
      <c r="Q15" s="100">
        <v>-58</v>
      </c>
      <c r="R15" s="100">
        <v>-15</v>
      </c>
      <c r="S15" s="100">
        <v>-46</v>
      </c>
      <c r="T15" s="100">
        <v>-80</v>
      </c>
      <c r="U15" s="100">
        <v>-10</v>
      </c>
      <c r="V15" s="100">
        <v>-41</v>
      </c>
      <c r="W15" s="100">
        <v>-2</v>
      </c>
      <c r="X15" s="100">
        <v>-66</v>
      </c>
      <c r="Y15" s="99"/>
      <c r="Z15" s="64"/>
      <c r="BB15" s="509" t="str">
        <f>CountryCode &amp; ".T3.F4.S1314.MNAC." &amp; RefVintage</f>
        <v>HU.T3.F4.S1314.MNAC.W.2020</v>
      </c>
    </row>
    <row r="16" spans="1:54" s="18" customFormat="1" ht="16.5" customHeight="1">
      <c r="A16" s="290" t="s">
        <v>413</v>
      </c>
      <c r="B16" s="414" t="s">
        <v>876</v>
      </c>
      <c r="C16" s="355" t="s">
        <v>55</v>
      </c>
      <c r="D16" s="101">
        <v>30</v>
      </c>
      <c r="E16" s="102">
        <v>75</v>
      </c>
      <c r="F16" s="102">
        <v>84</v>
      </c>
      <c r="G16" s="102">
        <v>427</v>
      </c>
      <c r="H16" s="102">
        <v>202</v>
      </c>
      <c r="I16" s="102">
        <v>65</v>
      </c>
      <c r="J16" s="102">
        <v>190</v>
      </c>
      <c r="K16" s="102">
        <v>35.82</v>
      </c>
      <c r="L16" s="102">
        <v>115.753</v>
      </c>
      <c r="M16" s="102">
        <v>138.55000000000001</v>
      </c>
      <c r="N16" s="102">
        <v>169</v>
      </c>
      <c r="O16" s="102">
        <v>1091</v>
      </c>
      <c r="P16" s="102">
        <v>900</v>
      </c>
      <c r="Q16" s="102">
        <v>651</v>
      </c>
      <c r="R16" s="102">
        <v>150</v>
      </c>
      <c r="S16" s="102">
        <v>24</v>
      </c>
      <c r="T16" s="102">
        <v>94</v>
      </c>
      <c r="U16" s="102">
        <v>55</v>
      </c>
      <c r="V16" s="102">
        <v>6</v>
      </c>
      <c r="W16" s="102">
        <v>0</v>
      </c>
      <c r="X16" s="102">
        <v>22.372</v>
      </c>
      <c r="Y16" s="99"/>
      <c r="Z16" s="64"/>
      <c r="BB16" s="509" t="str">
        <f>CountryCode &amp; ".T3.F4ACQ.S1314.MNAC." &amp; RefVintage</f>
        <v>HU.T3.F4ACQ.S1314.MNAC.W.2020</v>
      </c>
    </row>
    <row r="17" spans="1:54" s="18" customFormat="1" ht="16.5" customHeight="1">
      <c r="A17" s="290" t="s">
        <v>414</v>
      </c>
      <c r="B17" s="414" t="s">
        <v>877</v>
      </c>
      <c r="C17" s="355" t="s">
        <v>56</v>
      </c>
      <c r="D17" s="103">
        <v>-5</v>
      </c>
      <c r="E17" s="104">
        <v>-15</v>
      </c>
      <c r="F17" s="104">
        <v>-66</v>
      </c>
      <c r="G17" s="104">
        <v>-375</v>
      </c>
      <c r="H17" s="104">
        <v>-161</v>
      </c>
      <c r="I17" s="104">
        <v>0</v>
      </c>
      <c r="J17" s="104">
        <v>-21</v>
      </c>
      <c r="K17" s="104">
        <v>-128.82</v>
      </c>
      <c r="L17" s="104">
        <v>-68.753</v>
      </c>
      <c r="M17" s="104">
        <v>-68.550000000000011</v>
      </c>
      <c r="N17" s="104">
        <v>-128</v>
      </c>
      <c r="O17" s="104">
        <v>-1060</v>
      </c>
      <c r="P17" s="104">
        <v>-948</v>
      </c>
      <c r="Q17" s="104">
        <v>-709</v>
      </c>
      <c r="R17" s="104">
        <v>-165</v>
      </c>
      <c r="S17" s="104">
        <v>-70</v>
      </c>
      <c r="T17" s="104">
        <v>-174</v>
      </c>
      <c r="U17" s="104">
        <v>-65</v>
      </c>
      <c r="V17" s="104">
        <v>-47</v>
      </c>
      <c r="W17" s="104">
        <v>-2</v>
      </c>
      <c r="X17" s="104">
        <v>-88.372</v>
      </c>
      <c r="Y17" s="99"/>
      <c r="Z17" s="64"/>
      <c r="BB17" s="509" t="str">
        <f>CountryCode &amp; ".T3.F4DIS.S1314.MNAC." &amp; RefVintage</f>
        <v>HU.T3.F4DIS.S1314.MNAC.W.2020</v>
      </c>
    </row>
    <row r="18" spans="1:54" s="18" customFormat="1" ht="16.5" customHeight="1">
      <c r="A18" s="290" t="s">
        <v>415</v>
      </c>
      <c r="B18" s="414" t="s">
        <v>878</v>
      </c>
      <c r="C18" s="356" t="s">
        <v>87</v>
      </c>
      <c r="D18" s="100">
        <v>0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0</v>
      </c>
      <c r="W18" s="100">
        <v>0</v>
      </c>
      <c r="X18" s="100">
        <v>0</v>
      </c>
      <c r="Y18" s="99"/>
      <c r="Z18" s="64"/>
      <c r="BB18" s="509" t="str">
        <f>CountryCode &amp; ".T3.F41.S1314.MNAC." &amp; RefVintage</f>
        <v>HU.T3.F41.S1314.MNAC.W.2020</v>
      </c>
    </row>
    <row r="19" spans="1:54" s="18" customFormat="1" ht="16.5" customHeight="1">
      <c r="A19" s="290" t="s">
        <v>416</v>
      </c>
      <c r="B19" s="414" t="s">
        <v>879</v>
      </c>
      <c r="C19" s="356" t="s">
        <v>82</v>
      </c>
      <c r="D19" s="100">
        <v>25</v>
      </c>
      <c r="E19" s="100">
        <v>60</v>
      </c>
      <c r="F19" s="100">
        <v>18</v>
      </c>
      <c r="G19" s="100">
        <v>52</v>
      </c>
      <c r="H19" s="100">
        <v>41</v>
      </c>
      <c r="I19" s="100">
        <v>65</v>
      </c>
      <c r="J19" s="100">
        <v>169</v>
      </c>
      <c r="K19" s="100">
        <v>-93</v>
      </c>
      <c r="L19" s="100">
        <v>47</v>
      </c>
      <c r="M19" s="100">
        <v>70</v>
      </c>
      <c r="N19" s="100">
        <v>41</v>
      </c>
      <c r="O19" s="100">
        <v>31</v>
      </c>
      <c r="P19" s="100">
        <v>-48</v>
      </c>
      <c r="Q19" s="100">
        <v>-58</v>
      </c>
      <c r="R19" s="100">
        <v>-15</v>
      </c>
      <c r="S19" s="100">
        <v>-46</v>
      </c>
      <c r="T19" s="100">
        <v>-80</v>
      </c>
      <c r="U19" s="100">
        <v>-10</v>
      </c>
      <c r="V19" s="100">
        <v>-41</v>
      </c>
      <c r="W19" s="100">
        <v>-2</v>
      </c>
      <c r="X19" s="100">
        <v>-66</v>
      </c>
      <c r="Y19" s="99"/>
      <c r="Z19" s="64"/>
      <c r="BB19" s="509" t="str">
        <f>CountryCode &amp; ".T3.F42.S1314.MNAC." &amp; RefVintage</f>
        <v>HU.T3.F42.S1314.MNAC.W.2020</v>
      </c>
    </row>
    <row r="20" spans="1:54" s="18" customFormat="1" ht="16.5" customHeight="1">
      <c r="A20" s="290" t="s">
        <v>417</v>
      </c>
      <c r="B20" s="414" t="s">
        <v>880</v>
      </c>
      <c r="C20" s="357" t="s">
        <v>78</v>
      </c>
      <c r="D20" s="105">
        <v>30</v>
      </c>
      <c r="E20" s="106">
        <v>75</v>
      </c>
      <c r="F20" s="106">
        <v>84</v>
      </c>
      <c r="G20" s="106">
        <v>427</v>
      </c>
      <c r="H20" s="106">
        <v>202</v>
      </c>
      <c r="I20" s="106">
        <v>65</v>
      </c>
      <c r="J20" s="106">
        <v>190</v>
      </c>
      <c r="K20" s="106">
        <v>35.82</v>
      </c>
      <c r="L20" s="106">
        <v>115.753</v>
      </c>
      <c r="M20" s="106">
        <v>138.55000000000001</v>
      </c>
      <c r="N20" s="106">
        <v>169</v>
      </c>
      <c r="O20" s="106">
        <v>1091</v>
      </c>
      <c r="P20" s="106">
        <v>900</v>
      </c>
      <c r="Q20" s="106">
        <v>651</v>
      </c>
      <c r="R20" s="106">
        <v>150</v>
      </c>
      <c r="S20" s="106">
        <v>24</v>
      </c>
      <c r="T20" s="106">
        <v>94</v>
      </c>
      <c r="U20" s="106">
        <v>55</v>
      </c>
      <c r="V20" s="106">
        <v>6</v>
      </c>
      <c r="W20" s="106">
        <v>0</v>
      </c>
      <c r="X20" s="106">
        <v>22.372</v>
      </c>
      <c r="Y20" s="99"/>
      <c r="Z20" s="64"/>
      <c r="BB20" s="509" t="str">
        <f>CountryCode &amp; ".T3.F42ACQ.S1314.MNAC." &amp; RefVintage</f>
        <v>HU.T3.F42ACQ.S1314.MNAC.W.2020</v>
      </c>
    </row>
    <row r="21" spans="1:54" s="18" customFormat="1" ht="16.5" customHeight="1">
      <c r="A21" s="290" t="s">
        <v>418</v>
      </c>
      <c r="B21" s="414" t="s">
        <v>881</v>
      </c>
      <c r="C21" s="357" t="s">
        <v>79</v>
      </c>
      <c r="D21" s="107">
        <v>-5</v>
      </c>
      <c r="E21" s="108">
        <v>-15</v>
      </c>
      <c r="F21" s="108">
        <v>-66</v>
      </c>
      <c r="G21" s="108">
        <v>-375</v>
      </c>
      <c r="H21" s="108">
        <v>-161</v>
      </c>
      <c r="I21" s="108">
        <v>0</v>
      </c>
      <c r="J21" s="108">
        <v>-21</v>
      </c>
      <c r="K21" s="108">
        <v>-128.82</v>
      </c>
      <c r="L21" s="108">
        <v>-68.753</v>
      </c>
      <c r="M21" s="108">
        <v>-68.550000000000011</v>
      </c>
      <c r="N21" s="108">
        <v>-128</v>
      </c>
      <c r="O21" s="108">
        <v>-1060</v>
      </c>
      <c r="P21" s="108">
        <v>-948</v>
      </c>
      <c r="Q21" s="108">
        <v>-709</v>
      </c>
      <c r="R21" s="108">
        <v>-165</v>
      </c>
      <c r="S21" s="108">
        <v>-70</v>
      </c>
      <c r="T21" s="108">
        <v>-174</v>
      </c>
      <c r="U21" s="108">
        <v>-65</v>
      </c>
      <c r="V21" s="108">
        <v>-47</v>
      </c>
      <c r="W21" s="108">
        <v>-2</v>
      </c>
      <c r="X21" s="108">
        <v>-88.372</v>
      </c>
      <c r="Y21" s="99"/>
      <c r="Z21" s="64"/>
      <c r="BB21" s="509" t="str">
        <f>CountryCode &amp; ".T3.F42DIS.S1314.MNAC." &amp; RefVintage</f>
        <v>HU.T3.F42DIS.S1314.MNAC.W.2020</v>
      </c>
    </row>
    <row r="22" spans="1:54" s="18" customFormat="1" ht="16.5" customHeight="1">
      <c r="A22" s="290" t="s">
        <v>419</v>
      </c>
      <c r="B22" s="414" t="s">
        <v>882</v>
      </c>
      <c r="C22" s="354" t="s">
        <v>474</v>
      </c>
      <c r="D22" s="100">
        <v>13780</v>
      </c>
      <c r="E22" s="100">
        <v>3120</v>
      </c>
      <c r="F22" s="100">
        <v>5208</v>
      </c>
      <c r="G22" s="100">
        <v>-12862</v>
      </c>
      <c r="H22" s="100">
        <v>-66823</v>
      </c>
      <c r="I22" s="100">
        <v>-9804</v>
      </c>
      <c r="J22" s="100">
        <v>-1000</v>
      </c>
      <c r="K22" s="100">
        <v>-100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0</v>
      </c>
      <c r="U22" s="100">
        <v>0</v>
      </c>
      <c r="V22" s="100">
        <v>0</v>
      </c>
      <c r="W22" s="100">
        <v>0</v>
      </c>
      <c r="X22" s="100">
        <v>0</v>
      </c>
      <c r="Y22" s="99"/>
      <c r="Z22" s="64"/>
      <c r="BB22" s="509" t="str">
        <f>CountryCode &amp; ".T3.F5.S1314.MNAC." &amp; RefVintage</f>
        <v>HU.T3.F5.S1314.MNAC.W.2020</v>
      </c>
    </row>
    <row r="23" spans="1:54" s="18" customFormat="1" ht="16.5" customHeight="1">
      <c r="A23" s="290" t="s">
        <v>420</v>
      </c>
      <c r="B23" s="414" t="s">
        <v>883</v>
      </c>
      <c r="C23" s="356" t="s">
        <v>94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0</v>
      </c>
      <c r="V23" s="100">
        <v>0</v>
      </c>
      <c r="W23" s="100">
        <v>0</v>
      </c>
      <c r="X23" s="100">
        <v>0</v>
      </c>
      <c r="Y23" s="99"/>
      <c r="Z23" s="64"/>
      <c r="BB23" s="509" t="str">
        <f>CountryCode &amp; ".T3.F5PN.S1314.MNAC." &amp; RefVintage</f>
        <v>HU.T3.F5PN.S1314.MNAC.W.2020</v>
      </c>
    </row>
    <row r="24" spans="1:54" s="18" customFormat="1" ht="16.5" customHeight="1">
      <c r="A24" s="290" t="s">
        <v>421</v>
      </c>
      <c r="B24" s="414" t="s">
        <v>884</v>
      </c>
      <c r="C24" s="356" t="s">
        <v>475</v>
      </c>
      <c r="D24" s="100">
        <v>13780</v>
      </c>
      <c r="E24" s="100">
        <v>3120</v>
      </c>
      <c r="F24" s="100">
        <v>5208</v>
      </c>
      <c r="G24" s="100">
        <v>-12862</v>
      </c>
      <c r="H24" s="100">
        <v>-66823</v>
      </c>
      <c r="I24" s="100">
        <v>-9804</v>
      </c>
      <c r="J24" s="100">
        <v>-1000</v>
      </c>
      <c r="K24" s="100">
        <v>-100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0</v>
      </c>
      <c r="U24" s="100">
        <v>0</v>
      </c>
      <c r="V24" s="100">
        <v>0</v>
      </c>
      <c r="W24" s="100">
        <v>0</v>
      </c>
      <c r="X24" s="100">
        <v>0</v>
      </c>
      <c r="Y24" s="99"/>
      <c r="Z24" s="64"/>
      <c r="BB24" s="509" t="str">
        <f>CountryCode &amp; ".T3.F5OP.S1314.MNAC." &amp; RefVintage</f>
        <v>HU.T3.F5OP.S1314.MNAC.W.2020</v>
      </c>
    </row>
    <row r="25" spans="1:54" s="18" customFormat="1" ht="16.5" customHeight="1">
      <c r="A25" s="290" t="s">
        <v>422</v>
      </c>
      <c r="B25" s="414" t="s">
        <v>885</v>
      </c>
      <c r="C25" s="357" t="s">
        <v>83</v>
      </c>
      <c r="D25" s="109">
        <v>13300</v>
      </c>
      <c r="E25" s="110">
        <v>0</v>
      </c>
      <c r="F25" s="110">
        <v>12000</v>
      </c>
      <c r="G25" s="110">
        <v>2700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0</v>
      </c>
      <c r="O25" s="110">
        <v>0</v>
      </c>
      <c r="P25" s="110">
        <v>0</v>
      </c>
      <c r="Q25" s="110">
        <v>0</v>
      </c>
      <c r="R25" s="110">
        <v>0</v>
      </c>
      <c r="S25" s="110">
        <v>0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99"/>
      <c r="Z25" s="64"/>
      <c r="BB25" s="509" t="str">
        <f>CountryCode &amp; ".T3.F5OPACQ.S1314.MNAC." &amp; RefVintage</f>
        <v>HU.T3.F5OPACQ.S1314.MNAC.W.2020</v>
      </c>
    </row>
    <row r="26" spans="1:54" s="18" customFormat="1" ht="16.5" customHeight="1" thickBot="1">
      <c r="A26" s="290" t="s">
        <v>423</v>
      </c>
      <c r="B26" s="414" t="s">
        <v>886</v>
      </c>
      <c r="C26" s="357" t="s">
        <v>84</v>
      </c>
      <c r="D26" s="109">
        <v>480</v>
      </c>
      <c r="E26" s="110">
        <v>3120</v>
      </c>
      <c r="F26" s="110">
        <v>-6792</v>
      </c>
      <c r="G26" s="110">
        <v>-15562</v>
      </c>
      <c r="H26" s="110">
        <v>-66823</v>
      </c>
      <c r="I26" s="110">
        <v>-9804</v>
      </c>
      <c r="J26" s="110">
        <v>-1000</v>
      </c>
      <c r="K26" s="110">
        <v>-100</v>
      </c>
      <c r="L26" s="110">
        <v>0</v>
      </c>
      <c r="M26" s="110">
        <v>0</v>
      </c>
      <c r="N26" s="110">
        <v>0</v>
      </c>
      <c r="O26" s="110">
        <v>0</v>
      </c>
      <c r="P26" s="110">
        <v>0</v>
      </c>
      <c r="Q26" s="110">
        <v>0</v>
      </c>
      <c r="R26" s="110">
        <v>0</v>
      </c>
      <c r="S26" s="110">
        <v>0</v>
      </c>
      <c r="T26" s="110">
        <v>0</v>
      </c>
      <c r="U26" s="110">
        <v>0</v>
      </c>
      <c r="V26" s="110">
        <v>0</v>
      </c>
      <c r="W26" s="110">
        <v>0</v>
      </c>
      <c r="X26" s="110">
        <v>0</v>
      </c>
      <c r="Y26" s="99"/>
      <c r="Z26" s="64"/>
      <c r="BB26" s="509" t="str">
        <f>CountryCode &amp; ".T3.F5OPDIS.S1314.MNAC." &amp; RefVintage</f>
        <v>HU.T3.F5OPDIS.S1314.MNAC.W.2020</v>
      </c>
    </row>
    <row r="27" spans="1:54" s="18" customFormat="1" ht="16.5" customHeight="1">
      <c r="A27" s="347" t="s">
        <v>494</v>
      </c>
      <c r="B27" s="414" t="s">
        <v>887</v>
      </c>
      <c r="C27" s="354" t="s">
        <v>460</v>
      </c>
      <c r="D27" s="136">
        <v>0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36">
        <v>0</v>
      </c>
      <c r="T27" s="136">
        <v>0</v>
      </c>
      <c r="U27" s="136">
        <v>0</v>
      </c>
      <c r="V27" s="136">
        <v>0</v>
      </c>
      <c r="W27" s="136">
        <v>0</v>
      </c>
      <c r="X27" s="136">
        <v>0</v>
      </c>
      <c r="Y27" s="99"/>
      <c r="Z27" s="64"/>
      <c r="BB27" s="509" t="str">
        <f>CountryCode &amp; ".T3.F71.S1314.MNAC." &amp; RefVintage</f>
        <v>HU.T3.F71.S1314.MNAC.W.2020</v>
      </c>
    </row>
    <row r="28" spans="1:54" s="18" customFormat="1" ht="16.5" customHeight="1" thickBot="1">
      <c r="A28" s="348" t="s">
        <v>495</v>
      </c>
      <c r="B28" s="414" t="s">
        <v>888</v>
      </c>
      <c r="C28" s="354" t="s">
        <v>462</v>
      </c>
      <c r="D28" s="136">
        <v>7773</v>
      </c>
      <c r="E28" s="136">
        <v>14686</v>
      </c>
      <c r="F28" s="136">
        <v>24402</v>
      </c>
      <c r="G28" s="136">
        <v>18541</v>
      </c>
      <c r="H28" s="136">
        <v>4749</v>
      </c>
      <c r="I28" s="136">
        <v>32676.000000000004</v>
      </c>
      <c r="J28" s="136">
        <v>17545</v>
      </c>
      <c r="K28" s="136">
        <v>37341</v>
      </c>
      <c r="L28" s="136">
        <v>8576</v>
      </c>
      <c r="M28" s="136">
        <v>20169</v>
      </c>
      <c r="N28" s="136">
        <v>-4960</v>
      </c>
      <c r="O28" s="136">
        <v>43889</v>
      </c>
      <c r="P28" s="136">
        <v>19157</v>
      </c>
      <c r="Q28" s="136">
        <v>-9524</v>
      </c>
      <c r="R28" s="136">
        <v>-15173</v>
      </c>
      <c r="S28" s="136">
        <v>1022</v>
      </c>
      <c r="T28" s="136">
        <v>27330</v>
      </c>
      <c r="U28" s="136">
        <v>28569</v>
      </c>
      <c r="V28" s="136">
        <v>29666</v>
      </c>
      <c r="W28" s="136">
        <v>27862</v>
      </c>
      <c r="X28" s="136">
        <v>25390</v>
      </c>
      <c r="Y28" s="99"/>
      <c r="Z28" s="64"/>
      <c r="BB28" s="509" t="str">
        <f>CountryCode &amp; ".T3.F8.S1314.MNAC." &amp; RefVintage</f>
        <v>HU.T3.F8.S1314.MNAC.W.2020</v>
      </c>
    </row>
    <row r="29" spans="1:54" s="18" customFormat="1" ht="16.5" customHeight="1">
      <c r="A29" s="290" t="s">
        <v>424</v>
      </c>
      <c r="B29" s="414" t="s">
        <v>889</v>
      </c>
      <c r="C29" s="354" t="s">
        <v>465</v>
      </c>
      <c r="D29" s="136">
        <v>0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36">
        <v>0</v>
      </c>
      <c r="T29" s="136">
        <v>0</v>
      </c>
      <c r="U29" s="136">
        <v>0</v>
      </c>
      <c r="V29" s="136">
        <v>0</v>
      </c>
      <c r="W29" s="136">
        <v>0</v>
      </c>
      <c r="X29" s="136">
        <v>0</v>
      </c>
      <c r="Y29" s="99"/>
      <c r="Z29" s="64"/>
      <c r="BB29" s="509" t="str">
        <f>CountryCode &amp; ".T3.OFA.S1314.MNAC." &amp; RefVintage</f>
        <v>HU.T3.OFA.S1314.MNAC.W.2020</v>
      </c>
    </row>
    <row r="30" spans="1:54" s="18" customFormat="1" ht="16.5" customHeight="1">
      <c r="A30" s="290"/>
      <c r="B30" s="150"/>
      <c r="C30" s="358"/>
      <c r="D30" s="111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4"/>
      <c r="X30" s="114"/>
      <c r="Y30" s="99"/>
      <c r="Z30" s="64"/>
      <c r="BB30" s="509"/>
    </row>
    <row r="31" spans="1:54" s="18" customFormat="1" ht="16.5" customHeight="1">
      <c r="A31" s="290" t="s">
        <v>425</v>
      </c>
      <c r="B31" s="414" t="s">
        <v>890</v>
      </c>
      <c r="C31" s="359" t="s">
        <v>183</v>
      </c>
      <c r="D31" s="362">
        <f t="shared" ref="D31:P31" si="19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1072</v>
      </c>
      <c r="E31" s="362">
        <f t="shared" si="19"/>
        <v>8620</v>
      </c>
      <c r="F31" s="362">
        <f t="shared" si="19"/>
        <v>-3302</v>
      </c>
      <c r="G31" s="362">
        <f t="shared" si="19"/>
        <v>-3093</v>
      </c>
      <c r="H31" s="362">
        <f t="shared" si="19"/>
        <v>-3913</v>
      </c>
      <c r="I31" s="362">
        <f t="shared" si="19"/>
        <v>350</v>
      </c>
      <c r="J31" s="362">
        <f t="shared" si="19"/>
        <v>-8918</v>
      </c>
      <c r="K31" s="362">
        <f t="shared" si="19"/>
        <v>6851</v>
      </c>
      <c r="L31" s="362">
        <f t="shared" si="19"/>
        <v>-9647</v>
      </c>
      <c r="M31" s="362">
        <f t="shared" si="19"/>
        <v>-421</v>
      </c>
      <c r="N31" s="362">
        <f t="shared" si="19"/>
        <v>-21</v>
      </c>
      <c r="O31" s="362">
        <f t="shared" si="19"/>
        <v>-9179</v>
      </c>
      <c r="P31" s="362">
        <f t="shared" si="19"/>
        <v>-1862</v>
      </c>
      <c r="Q31" s="362">
        <f t="shared" ref="Q31:S31" si="20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2666</v>
      </c>
      <c r="R31" s="362">
        <f t="shared" si="20"/>
        <v>-6665</v>
      </c>
      <c r="S31" s="362">
        <f t="shared" si="20"/>
        <v>12168</v>
      </c>
      <c r="T31" s="362">
        <f t="shared" ref="T31:V31" si="21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-13524</v>
      </c>
      <c r="U31" s="362">
        <f t="shared" si="21"/>
        <v>80.999999999992724</v>
      </c>
      <c r="V31" s="362">
        <f t="shared" si="21"/>
        <v>-3530</v>
      </c>
      <c r="W31" s="362">
        <f t="shared" ref="W31:X31" si="22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9487</v>
      </c>
      <c r="X31" s="362">
        <f t="shared" si="22"/>
        <v>-75.999999999996362</v>
      </c>
      <c r="Y31" s="99"/>
      <c r="Z31" s="64"/>
      <c r="BB31" s="509" t="str">
        <f>CountryCode &amp; ".T3.ADJ.S1314.MNAC." &amp; RefVintage</f>
        <v>HU.T3.ADJ.S1314.MNAC.W.2020</v>
      </c>
    </row>
    <row r="32" spans="1:54" s="18" customFormat="1" ht="16.5" customHeight="1" thickBot="1">
      <c r="A32" s="290" t="s">
        <v>426</v>
      </c>
      <c r="B32" s="414" t="s">
        <v>891</v>
      </c>
      <c r="C32" s="354" t="s">
        <v>476</v>
      </c>
      <c r="D32" s="136">
        <v>0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99"/>
      <c r="Z32" s="64"/>
      <c r="BB32" s="509" t="str">
        <f>CountryCode &amp; ".T3.LIA.S1314.MNAC." &amp; RefVintage</f>
        <v>HU.T3.LIA.S1314.MNAC.W.2020</v>
      </c>
    </row>
    <row r="33" spans="1:54" s="18" customFormat="1" ht="16.5" customHeight="1" thickBot="1">
      <c r="A33" s="272" t="s">
        <v>505</v>
      </c>
      <c r="B33" s="414" t="s">
        <v>892</v>
      </c>
      <c r="C33" s="354" t="s">
        <v>463</v>
      </c>
      <c r="D33" s="136">
        <v>1072</v>
      </c>
      <c r="E33" s="136">
        <v>8620</v>
      </c>
      <c r="F33" s="136">
        <v>-3302</v>
      </c>
      <c r="G33" s="136">
        <v>-3093</v>
      </c>
      <c r="H33" s="136">
        <v>-3913</v>
      </c>
      <c r="I33" s="136">
        <v>350</v>
      </c>
      <c r="J33" s="136">
        <v>-8918</v>
      </c>
      <c r="K33" s="136">
        <v>6851</v>
      </c>
      <c r="L33" s="136">
        <v>-9647</v>
      </c>
      <c r="M33" s="136">
        <v>-421</v>
      </c>
      <c r="N33" s="136">
        <v>-21</v>
      </c>
      <c r="O33" s="136">
        <v>-9179</v>
      </c>
      <c r="P33" s="136">
        <v>-1862</v>
      </c>
      <c r="Q33" s="136">
        <v>2666</v>
      </c>
      <c r="R33" s="136">
        <v>-6665</v>
      </c>
      <c r="S33" s="136">
        <v>12168</v>
      </c>
      <c r="T33" s="136">
        <v>-13524</v>
      </c>
      <c r="U33" s="136">
        <v>81</v>
      </c>
      <c r="V33" s="136">
        <v>-3530</v>
      </c>
      <c r="W33" s="136">
        <v>9487</v>
      </c>
      <c r="X33" s="136">
        <v>-76</v>
      </c>
      <c r="Y33" s="99"/>
      <c r="Z33" s="64"/>
      <c r="BB33" s="509" t="str">
        <f>CountryCode &amp; ".T3.OAP.S1314.MNAC." &amp; RefVintage</f>
        <v>HU.T3.OAP.S1314.MNAC.W.2020</v>
      </c>
    </row>
    <row r="34" spans="1:54" s="18" customFormat="1" ht="16.5" customHeight="1">
      <c r="A34" s="290" t="s">
        <v>427</v>
      </c>
      <c r="B34" s="414" t="s">
        <v>893</v>
      </c>
      <c r="C34" s="354" t="s">
        <v>477</v>
      </c>
      <c r="D34" s="136">
        <v>0</v>
      </c>
      <c r="E34" s="136">
        <v>0</v>
      </c>
      <c r="F34" s="136">
        <v>0</v>
      </c>
      <c r="G34" s="136">
        <v>0</v>
      </c>
      <c r="H34" s="136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6">
        <v>0</v>
      </c>
      <c r="O34" s="136">
        <v>0</v>
      </c>
      <c r="P34" s="136">
        <v>0</v>
      </c>
      <c r="Q34" s="136">
        <v>0</v>
      </c>
      <c r="R34" s="136">
        <v>0</v>
      </c>
      <c r="S34" s="136">
        <v>0</v>
      </c>
      <c r="T34" s="136">
        <v>0</v>
      </c>
      <c r="U34" s="136">
        <v>0</v>
      </c>
      <c r="V34" s="136">
        <v>0</v>
      </c>
      <c r="W34" s="136">
        <v>0</v>
      </c>
      <c r="X34" s="136">
        <v>0</v>
      </c>
      <c r="Y34" s="99"/>
      <c r="Z34" s="64"/>
      <c r="BB34" s="509" t="str">
        <f>CountryCode &amp; ".T3.OLIA.S1314.MNAC." &amp; RefVintage</f>
        <v>HU.T3.OLIA.S1314.MNAC.W.2020</v>
      </c>
    </row>
    <row r="35" spans="1:54" s="18" customFormat="1" ht="16.5" customHeight="1">
      <c r="A35" s="290"/>
      <c r="B35" s="150"/>
      <c r="C35" s="360"/>
      <c r="D35" s="113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99"/>
      <c r="Z35" s="64"/>
      <c r="BB35" s="509"/>
    </row>
    <row r="36" spans="1:54" s="18" customFormat="1" ht="16.5" customHeight="1">
      <c r="A36" s="290" t="s">
        <v>428</v>
      </c>
      <c r="B36" s="414" t="s">
        <v>894</v>
      </c>
      <c r="C36" s="354" t="s">
        <v>66</v>
      </c>
      <c r="D36" s="136">
        <v>0</v>
      </c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36">
        <v>0</v>
      </c>
      <c r="L36" s="136">
        <v>0</v>
      </c>
      <c r="M36" s="136">
        <v>0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36">
        <v>0</v>
      </c>
      <c r="T36" s="136">
        <v>0</v>
      </c>
      <c r="U36" s="136">
        <v>0</v>
      </c>
      <c r="V36" s="136">
        <v>0</v>
      </c>
      <c r="W36" s="136">
        <v>0</v>
      </c>
      <c r="X36" s="136">
        <v>0</v>
      </c>
      <c r="Y36" s="99"/>
      <c r="Z36" s="64"/>
      <c r="BB36" s="509" t="str">
        <f>CountryCode &amp; ".T3.ISS_A.S1314.MNAC." &amp; RefVintage</f>
        <v>HU.T3.ISS_A.S1314.MNAC.W.2020</v>
      </c>
    </row>
    <row r="37" spans="1:54" s="18" customFormat="1" ht="16.5" customHeight="1">
      <c r="A37" s="290" t="s">
        <v>429</v>
      </c>
      <c r="B37" s="414" t="s">
        <v>895</v>
      </c>
      <c r="C37" s="354" t="s">
        <v>478</v>
      </c>
      <c r="D37" s="136">
        <v>0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>
        <v>0</v>
      </c>
      <c r="P37" s="136">
        <v>0</v>
      </c>
      <c r="Q37" s="136">
        <v>0</v>
      </c>
      <c r="R37" s="136">
        <v>0</v>
      </c>
      <c r="S37" s="136">
        <v>0</v>
      </c>
      <c r="T37" s="136">
        <v>0</v>
      </c>
      <c r="U37" s="136">
        <v>0</v>
      </c>
      <c r="V37" s="136">
        <v>0</v>
      </c>
      <c r="W37" s="136">
        <v>0</v>
      </c>
      <c r="X37" s="136">
        <v>0</v>
      </c>
      <c r="Y37" s="99"/>
      <c r="Z37" s="64"/>
      <c r="BB37" s="509" t="str">
        <f>CountryCode &amp; ".T3.D41_A.S1314.MNAC." &amp; RefVintage</f>
        <v>HU.T3.D41_A.S1314.MNAC.W.2020</v>
      </c>
    </row>
    <row r="38" spans="1:54" s="191" customFormat="1" ht="16.5" customHeight="1">
      <c r="A38" s="290" t="s">
        <v>430</v>
      </c>
      <c r="B38" s="414" t="s">
        <v>896</v>
      </c>
      <c r="C38" s="361" t="s">
        <v>479</v>
      </c>
      <c r="D38" s="136">
        <v>0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36">
        <v>0</v>
      </c>
      <c r="T38" s="136">
        <v>0</v>
      </c>
      <c r="U38" s="136">
        <v>0</v>
      </c>
      <c r="V38" s="136">
        <v>0</v>
      </c>
      <c r="W38" s="136">
        <v>0</v>
      </c>
      <c r="X38" s="136">
        <v>0</v>
      </c>
      <c r="Y38" s="99"/>
      <c r="Z38" s="64"/>
      <c r="BB38" s="510" t="str">
        <f>CountryCode &amp; ".T3.RED_A.S1314.MNAC." &amp; RefVintage</f>
        <v>HU.T3.RED_A.S1314.MNAC.W.2020</v>
      </c>
    </row>
    <row r="39" spans="1:54" s="18" customFormat="1" ht="16.5" customHeight="1">
      <c r="A39" s="290"/>
      <c r="B39" s="150"/>
      <c r="C39" s="360"/>
      <c r="D39" s="113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99"/>
      <c r="Z39" s="64"/>
      <c r="BB39" s="509"/>
    </row>
    <row r="40" spans="1:54" s="18" customFormat="1" ht="16.5" customHeight="1">
      <c r="A40" s="290" t="s">
        <v>431</v>
      </c>
      <c r="B40" s="414" t="s">
        <v>897</v>
      </c>
      <c r="C40" s="354" t="s">
        <v>95</v>
      </c>
      <c r="D40" s="136">
        <v>0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6">
        <v>0</v>
      </c>
      <c r="Q40" s="136">
        <v>0</v>
      </c>
      <c r="R40" s="136">
        <v>0</v>
      </c>
      <c r="S40" s="136">
        <v>0</v>
      </c>
      <c r="T40" s="136">
        <v>0</v>
      </c>
      <c r="U40" s="136">
        <v>-7.2759576141834259E-12</v>
      </c>
      <c r="V40" s="136">
        <v>0</v>
      </c>
      <c r="W40" s="136">
        <v>0</v>
      </c>
      <c r="X40" s="136">
        <v>3.637978807091713E-12</v>
      </c>
      <c r="Y40" s="99"/>
      <c r="Z40" s="64"/>
      <c r="BB40" s="509" t="str">
        <f>CountryCode &amp; ".T3.FREV_A.S1314.MNAC." &amp; RefVintage</f>
        <v>HU.T3.FREV_A.S1314.MNAC.W.2020</v>
      </c>
    </row>
    <row r="41" spans="1:54" s="18" customFormat="1" ht="16.5" customHeight="1">
      <c r="A41" s="290" t="s">
        <v>525</v>
      </c>
      <c r="B41" s="414" t="s">
        <v>898</v>
      </c>
      <c r="C41" s="354" t="s">
        <v>480</v>
      </c>
      <c r="D41" s="136">
        <v>0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6">
        <v>0</v>
      </c>
      <c r="Q41" s="136">
        <v>0</v>
      </c>
      <c r="R41" s="136">
        <v>0</v>
      </c>
      <c r="S41" s="136">
        <v>0</v>
      </c>
      <c r="T41" s="136">
        <v>0</v>
      </c>
      <c r="U41" s="136">
        <v>0</v>
      </c>
      <c r="V41" s="136">
        <v>0</v>
      </c>
      <c r="W41" s="136">
        <v>0</v>
      </c>
      <c r="X41" s="136">
        <v>0</v>
      </c>
      <c r="Y41" s="99"/>
      <c r="Z41" s="64"/>
      <c r="BB41" s="509" t="str">
        <f>CountryCode &amp; ".T3.K61.S1314.MNAC." &amp; RefVintage</f>
        <v>HU.T3.K61.S1314.MNAC.W.2020</v>
      </c>
    </row>
    <row r="42" spans="1:54" s="18" customFormat="1" ht="16.5" customHeight="1">
      <c r="A42" s="290" t="s">
        <v>432</v>
      </c>
      <c r="B42" s="414" t="s">
        <v>899</v>
      </c>
      <c r="C42" s="354" t="s">
        <v>481</v>
      </c>
      <c r="D42" s="136">
        <v>0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36">
        <v>0</v>
      </c>
      <c r="T42" s="136">
        <v>0</v>
      </c>
      <c r="U42" s="136">
        <v>0</v>
      </c>
      <c r="V42" s="136">
        <v>0</v>
      </c>
      <c r="W42" s="136">
        <v>0</v>
      </c>
      <c r="X42" s="136">
        <v>0</v>
      </c>
      <c r="Y42" s="99"/>
      <c r="Z42" s="64"/>
      <c r="BB42" s="509" t="str">
        <f>CountryCode &amp; ".T3.OCVO_A.S1314.MNAC." &amp; RefVintage</f>
        <v>HU.T3.OCVO_A.S1314.MNAC.W.2020</v>
      </c>
    </row>
    <row r="43" spans="1:54" s="18" customFormat="1" ht="16.5" customHeight="1">
      <c r="A43" s="290"/>
      <c r="B43" s="150"/>
      <c r="C43" s="360"/>
      <c r="D43" s="113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99"/>
      <c r="Z43" s="64"/>
      <c r="BB43" s="509"/>
    </row>
    <row r="44" spans="1:54" s="18" customFormat="1" ht="16.5" customHeight="1">
      <c r="A44" s="290" t="s">
        <v>433</v>
      </c>
      <c r="B44" s="414" t="s">
        <v>900</v>
      </c>
      <c r="C44" s="359" t="s">
        <v>64</v>
      </c>
      <c r="D44" s="136">
        <v>25686</v>
      </c>
      <c r="E44" s="136">
        <v>-35647</v>
      </c>
      <c r="F44" s="136">
        <v>-7657</v>
      </c>
      <c r="G44" s="136">
        <v>8491</v>
      </c>
      <c r="H44" s="136">
        <v>12905.000000000007</v>
      </c>
      <c r="I44" s="136">
        <v>1245.9970000000721</v>
      </c>
      <c r="J44" s="136">
        <v>6946.0000000000218</v>
      </c>
      <c r="K44" s="136">
        <v>-23866.000000000015</v>
      </c>
      <c r="L44" s="136">
        <v>5599</v>
      </c>
      <c r="M44" s="136">
        <v>-24881.999999999971</v>
      </c>
      <c r="N44" s="136">
        <v>8745.9999999999927</v>
      </c>
      <c r="O44" s="136">
        <v>-2223.9999999999418</v>
      </c>
      <c r="P44" s="136">
        <v>-10252</v>
      </c>
      <c r="Q44" s="136">
        <v>1160.0000000000073</v>
      </c>
      <c r="R44" s="136">
        <v>-2239.0000000000073</v>
      </c>
      <c r="S44" s="136">
        <v>51.000000000007276</v>
      </c>
      <c r="T44" s="136">
        <v>-11718.999999999996</v>
      </c>
      <c r="U44" s="136">
        <v>3240</v>
      </c>
      <c r="V44" s="136">
        <v>416</v>
      </c>
      <c r="W44" s="136">
        <v>4627.5</v>
      </c>
      <c r="X44" s="136">
        <v>-1192.5640000004423</v>
      </c>
      <c r="Y44" s="99"/>
      <c r="Z44" s="64"/>
      <c r="BB44" s="509" t="str">
        <f>CountryCode &amp; ".T3.SD.S1314.MNAC." &amp; RefVintage</f>
        <v>HU.T3.SD.S1314.MNAC.W.2020</v>
      </c>
    </row>
    <row r="45" spans="1:54" s="18" customFormat="1" ht="16.5" customHeight="1">
      <c r="A45" s="290" t="s">
        <v>434</v>
      </c>
      <c r="B45" s="414" t="s">
        <v>901</v>
      </c>
      <c r="C45" s="354" t="s">
        <v>73</v>
      </c>
      <c r="D45" s="136">
        <v>25686</v>
      </c>
      <c r="E45" s="136">
        <v>-35647</v>
      </c>
      <c r="F45" s="136">
        <v>-7657</v>
      </c>
      <c r="G45" s="136">
        <v>8491</v>
      </c>
      <c r="H45" s="136">
        <v>12905.000000000007</v>
      </c>
      <c r="I45" s="136">
        <v>1245.9970000000721</v>
      </c>
      <c r="J45" s="136">
        <v>6946.0000000000218</v>
      </c>
      <c r="K45" s="136">
        <v>-23866.000000000015</v>
      </c>
      <c r="L45" s="136">
        <v>5599</v>
      </c>
      <c r="M45" s="136">
        <v>-24881.999999999971</v>
      </c>
      <c r="N45" s="136">
        <v>8745.9999999999927</v>
      </c>
      <c r="O45" s="136">
        <v>-2223.9999999999418</v>
      </c>
      <c r="P45" s="136">
        <v>-10252</v>
      </c>
      <c r="Q45" s="136">
        <v>1160.0000000000073</v>
      </c>
      <c r="R45" s="136">
        <v>-2239.0000000000073</v>
      </c>
      <c r="S45" s="136">
        <v>51.000000000007276</v>
      </c>
      <c r="T45" s="136">
        <v>-11718.999999999996</v>
      </c>
      <c r="U45" s="136">
        <v>3240</v>
      </c>
      <c r="V45" s="136">
        <v>416</v>
      </c>
      <c r="W45" s="136">
        <v>4627.5</v>
      </c>
      <c r="X45" s="136">
        <v>-1192.5640000004423</v>
      </c>
      <c r="Y45" s="99"/>
      <c r="Z45" s="64"/>
      <c r="BB45" s="509" t="str">
        <f>CountryCode &amp; ".T3.B9_SD.S1314.MNAC." &amp; RefVintage</f>
        <v>HU.T3.B9_SD.S1314.MNAC.W.2020</v>
      </c>
    </row>
    <row r="46" spans="1:54" s="18" customFormat="1" ht="16.5" customHeight="1">
      <c r="A46" s="290" t="s">
        <v>435</v>
      </c>
      <c r="B46" s="414" t="s">
        <v>902</v>
      </c>
      <c r="C46" s="354" t="s">
        <v>63</v>
      </c>
      <c r="D46" s="136">
        <v>0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36">
        <v>0</v>
      </c>
      <c r="T46" s="136">
        <v>0</v>
      </c>
      <c r="U46" s="136">
        <v>0</v>
      </c>
      <c r="V46" s="136">
        <v>0</v>
      </c>
      <c r="W46" s="136">
        <v>0</v>
      </c>
      <c r="X46" s="136">
        <v>0</v>
      </c>
      <c r="Y46" s="99"/>
      <c r="Z46" s="64"/>
      <c r="BB46" s="509" t="str">
        <f>CountryCode &amp; ".T3.OSD.S1314.MNAC." &amp; RefVintage</f>
        <v>HU.T3.OSD.S1314.MNAC.W.2020</v>
      </c>
    </row>
    <row r="47" spans="1:54" s="18" customFormat="1" ht="13.5" customHeight="1" thickBot="1">
      <c r="A47" s="290"/>
      <c r="B47" s="150"/>
      <c r="C47" s="358"/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7"/>
      <c r="Z47" s="64"/>
      <c r="BB47" s="509"/>
    </row>
    <row r="48" spans="1:54" s="18" customFormat="1" ht="19.5" customHeight="1" thickTop="1" thickBot="1">
      <c r="A48" s="290" t="s">
        <v>436</v>
      </c>
      <c r="B48" s="414" t="s">
        <v>903</v>
      </c>
      <c r="C48" s="312" t="s">
        <v>115</v>
      </c>
      <c r="D48" s="136">
        <v>44000</v>
      </c>
      <c r="E48" s="136">
        <v>-51970</v>
      </c>
      <c r="F48" s="136">
        <v>12125</v>
      </c>
      <c r="G48" s="136">
        <v>37075</v>
      </c>
      <c r="H48" s="136">
        <v>-41825.999999999993</v>
      </c>
      <c r="I48" s="136">
        <v>38911</v>
      </c>
      <c r="J48" s="136">
        <v>-55747.000000000007</v>
      </c>
      <c r="K48" s="136">
        <v>71484.999999999985</v>
      </c>
      <c r="L48" s="136">
        <v>251009</v>
      </c>
      <c r="M48" s="136">
        <v>57708.000000000029</v>
      </c>
      <c r="N48" s="136">
        <v>39283.999999999993</v>
      </c>
      <c r="O48" s="136">
        <v>-338587.99999999994</v>
      </c>
      <c r="P48" s="136">
        <v>-130406</v>
      </c>
      <c r="Q48" s="136">
        <v>65121.000000000007</v>
      </c>
      <c r="R48" s="136">
        <v>64098.999999999993</v>
      </c>
      <c r="S48" s="136">
        <v>-35254.999999999993</v>
      </c>
      <c r="T48" s="136">
        <v>-8504.9999999999964</v>
      </c>
      <c r="U48" s="136">
        <v>27453.999999999993</v>
      </c>
      <c r="V48" s="136">
        <v>-111779</v>
      </c>
      <c r="W48" s="136">
        <v>4882</v>
      </c>
      <c r="X48" s="136">
        <v>25892.000000000004</v>
      </c>
      <c r="Y48" s="6"/>
      <c r="Z48" s="64"/>
      <c r="BB48" s="509" t="str">
        <f>CountryCode &amp; ".T3.CHDEBT.S1314.MNAC." &amp; RefVintage</f>
        <v>HU.T3.CHDEBT.S1314.MNAC.W.2020</v>
      </c>
    </row>
    <row r="49" spans="1:54" ht="9" customHeight="1" thickTop="1" thickBot="1">
      <c r="A49" s="290"/>
      <c r="B49" s="150"/>
      <c r="C49" s="37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8"/>
      <c r="Z49" s="50"/>
    </row>
    <row r="50" spans="1:54" ht="9" customHeight="1" thickTop="1" thickBot="1">
      <c r="A50" s="290"/>
      <c r="B50" s="150"/>
      <c r="C50" s="371"/>
      <c r="D50" s="91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"/>
      <c r="Z50" s="50"/>
    </row>
    <row r="51" spans="1:54" ht="18.75" thickTop="1" thickBot="1">
      <c r="A51" s="290" t="s">
        <v>437</v>
      </c>
      <c r="B51" s="414" t="s">
        <v>904</v>
      </c>
      <c r="C51" s="312" t="s">
        <v>116</v>
      </c>
      <c r="D51" s="491">
        <v>109558</v>
      </c>
      <c r="E51" s="492">
        <v>57110</v>
      </c>
      <c r="F51" s="492">
        <v>67215</v>
      </c>
      <c r="G51" s="492">
        <v>112830</v>
      </c>
      <c r="H51" s="492">
        <v>78504</v>
      </c>
      <c r="I51" s="492">
        <v>117415</v>
      </c>
      <c r="J51" s="492">
        <v>61668</v>
      </c>
      <c r="K51" s="492">
        <v>133153</v>
      </c>
      <c r="L51" s="492">
        <v>379583</v>
      </c>
      <c r="M51" s="492">
        <v>436191</v>
      </c>
      <c r="N51" s="492">
        <v>477320</v>
      </c>
      <c r="O51" s="492">
        <v>132884</v>
      </c>
      <c r="P51" s="492">
        <v>-37294</v>
      </c>
      <c r="Q51" s="492">
        <v>37446</v>
      </c>
      <c r="R51" s="492">
        <v>123274</v>
      </c>
      <c r="S51" s="492">
        <v>89334</v>
      </c>
      <c r="T51" s="492">
        <v>83624</v>
      </c>
      <c r="U51" s="492">
        <v>119579</v>
      </c>
      <c r="V51" s="492">
        <v>9302</v>
      </c>
      <c r="W51" s="492">
        <v>8736</v>
      </c>
      <c r="X51" s="492">
        <v>29894</v>
      </c>
      <c r="Y51" s="4"/>
      <c r="Z51" s="50"/>
      <c r="BB51" s="283" t="str">
        <f>CountryCode &amp; ".T3.CTDEBT.S1314.MNAC." &amp; RefVintage</f>
        <v>HU.T3.CTDEBT.S1314.MNAC.W.2020</v>
      </c>
    </row>
    <row r="52" spans="1:54" ht="15.75" thickTop="1">
      <c r="A52" s="290" t="s">
        <v>438</v>
      </c>
      <c r="B52" s="414" t="s">
        <v>905</v>
      </c>
      <c r="C52" s="354" t="s">
        <v>117</v>
      </c>
      <c r="D52" s="489">
        <v>123100</v>
      </c>
      <c r="E52" s="489">
        <v>71130</v>
      </c>
      <c r="F52" s="489">
        <v>83255</v>
      </c>
      <c r="G52" s="489">
        <v>120330</v>
      </c>
      <c r="H52" s="489">
        <v>78504</v>
      </c>
      <c r="I52" s="489">
        <v>117415</v>
      </c>
      <c r="J52" s="489">
        <v>61668</v>
      </c>
      <c r="K52" s="489">
        <v>133153</v>
      </c>
      <c r="L52" s="489">
        <v>384162</v>
      </c>
      <c r="M52" s="489">
        <v>441870</v>
      </c>
      <c r="N52" s="489">
        <v>481154</v>
      </c>
      <c r="O52" s="489">
        <v>142566</v>
      </c>
      <c r="P52" s="489">
        <v>12160</v>
      </c>
      <c r="Q52" s="489">
        <v>77281</v>
      </c>
      <c r="R52" s="489">
        <v>141380</v>
      </c>
      <c r="S52" s="489">
        <v>106125</v>
      </c>
      <c r="T52" s="489">
        <v>97620</v>
      </c>
      <c r="U52" s="489">
        <v>125074</v>
      </c>
      <c r="V52" s="489">
        <v>13295</v>
      </c>
      <c r="W52" s="489">
        <v>18177</v>
      </c>
      <c r="X52" s="489">
        <v>44069</v>
      </c>
      <c r="Y52" s="490"/>
      <c r="Z52" s="50"/>
      <c r="BB52" s="283" t="str">
        <f>CountryCode &amp; ".T3.DEBT.S1314.MNAC." &amp; RefVintage</f>
        <v>HU.T3.DEBT.S1314.MNAC.W.2020</v>
      </c>
    </row>
    <row r="53" spans="1:54" ht="18.75" customHeight="1">
      <c r="A53" s="290" t="s">
        <v>439</v>
      </c>
      <c r="B53" s="414" t="s">
        <v>906</v>
      </c>
      <c r="C53" s="372" t="s">
        <v>118</v>
      </c>
      <c r="D53" s="136">
        <v>13542.000000000002</v>
      </c>
      <c r="E53" s="136">
        <v>14020</v>
      </c>
      <c r="F53" s="136">
        <v>16040</v>
      </c>
      <c r="G53" s="136">
        <v>7500</v>
      </c>
      <c r="H53" s="136">
        <v>0</v>
      </c>
      <c r="I53" s="136">
        <v>0</v>
      </c>
      <c r="J53" s="136">
        <v>0</v>
      </c>
      <c r="K53" s="136">
        <v>0</v>
      </c>
      <c r="L53" s="136">
        <v>4579</v>
      </c>
      <c r="M53" s="136">
        <v>5679</v>
      </c>
      <c r="N53" s="136">
        <v>3834</v>
      </c>
      <c r="O53" s="136">
        <v>9682</v>
      </c>
      <c r="P53" s="136">
        <v>49454</v>
      </c>
      <c r="Q53" s="136">
        <v>39835</v>
      </c>
      <c r="R53" s="136">
        <v>18106</v>
      </c>
      <c r="S53" s="136">
        <v>16791</v>
      </c>
      <c r="T53" s="136">
        <v>13996</v>
      </c>
      <c r="U53" s="136">
        <v>5495</v>
      </c>
      <c r="V53" s="136">
        <v>3993</v>
      </c>
      <c r="W53" s="136">
        <v>9441</v>
      </c>
      <c r="X53" s="136">
        <v>14175</v>
      </c>
      <c r="Y53" s="137"/>
      <c r="Z53" s="50"/>
      <c r="BB53" s="283" t="str">
        <f>CountryCode &amp; ".T3.HOLD.S1314.MNAC." &amp; RefVintage</f>
        <v>HU.T3.HOLD.S1314.MNAC.W.2020</v>
      </c>
    </row>
    <row r="54" spans="1:54" ht="9.75" customHeight="1" thickBot="1">
      <c r="A54" s="151"/>
      <c r="B54" s="150"/>
      <c r="C54" s="17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71"/>
      <c r="Z54" s="50"/>
    </row>
    <row r="55" spans="1:54" ht="20.25" thickTop="1" thickBot="1">
      <c r="A55" s="151"/>
      <c r="B55" s="150"/>
      <c r="C55" s="369" t="str">
        <f>'Table 3A'!$C$50</f>
        <v xml:space="preserve">*Please note that the sign convention for net lending/ net borrowing is different from tables 1 and 2. </v>
      </c>
      <c r="D55" s="350"/>
      <c r="E55" s="350"/>
      <c r="F55" s="350"/>
      <c r="G55" s="350"/>
      <c r="H55" s="350"/>
      <c r="I55" s="350"/>
      <c r="J55" s="350"/>
      <c r="K55" s="350"/>
      <c r="L55" s="350"/>
      <c r="M55" s="350"/>
      <c r="N55" s="350"/>
      <c r="O55" s="350"/>
      <c r="P55" s="350"/>
      <c r="Q55" s="350"/>
      <c r="R55" s="350"/>
      <c r="S55" s="350"/>
      <c r="T55" s="350"/>
      <c r="U55" s="350"/>
      <c r="V55" s="350"/>
      <c r="W55" s="350"/>
      <c r="X55" s="350"/>
      <c r="Y55" s="351"/>
      <c r="Z55" s="50"/>
      <c r="AB55" s="13"/>
    </row>
    <row r="56" spans="1:54" ht="8.25" customHeight="1" thickTop="1">
      <c r="A56" s="151"/>
      <c r="B56" s="150"/>
      <c r="C56" s="175"/>
      <c r="D56" s="68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50"/>
      <c r="AB56" s="13"/>
    </row>
    <row r="57" spans="1:54" ht="15.75">
      <c r="A57" s="151"/>
      <c r="B57" s="150"/>
      <c r="C57" s="180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50"/>
      <c r="AB57" s="13"/>
    </row>
    <row r="58" spans="1:54" ht="15.75">
      <c r="A58" s="151"/>
      <c r="B58" s="150"/>
      <c r="C58" s="226" t="s">
        <v>96</v>
      </c>
      <c r="D58" s="226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50"/>
      <c r="AB58" s="13"/>
    </row>
    <row r="59" spans="1:54" ht="15.75">
      <c r="A59" s="151"/>
      <c r="B59" s="150"/>
      <c r="C59" s="224" t="s">
        <v>114</v>
      </c>
      <c r="D59" s="226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50"/>
      <c r="AB59" s="13"/>
    </row>
    <row r="60" spans="1:54" ht="16.5" customHeight="1">
      <c r="A60" s="151"/>
      <c r="B60" s="150"/>
      <c r="C60" s="224" t="s">
        <v>464</v>
      </c>
      <c r="D60" s="154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50"/>
      <c r="AB60" s="13"/>
    </row>
    <row r="61" spans="1:54" ht="9.75" customHeight="1" thickBot="1">
      <c r="A61" s="177"/>
      <c r="B61" s="170"/>
      <c r="C61" s="376"/>
      <c r="D61" s="377"/>
      <c r="E61" s="375"/>
      <c r="F61" s="375"/>
      <c r="G61" s="375"/>
      <c r="H61" s="375"/>
      <c r="I61" s="375"/>
      <c r="J61" s="375"/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375"/>
      <c r="X61" s="375"/>
      <c r="Y61" s="375"/>
      <c r="Z61" s="52"/>
      <c r="AB61" s="13"/>
    </row>
    <row r="62" spans="1:54" ht="16.5" thickTop="1">
      <c r="B62" s="212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13"/>
      <c r="AA62" s="13"/>
      <c r="AB62" s="13"/>
    </row>
    <row r="63" spans="1:54"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</row>
    <row r="64" spans="1:54" s="23" customFormat="1" ht="30" customHeight="1">
      <c r="A64" s="30"/>
      <c r="B64" s="20"/>
      <c r="C64" s="323" t="s">
        <v>120</v>
      </c>
      <c r="D64" s="545" t="str">
        <f>IF(COUNTA(D10:W10,D12:W29,D31:W34,D36:W38,D40:W42,D44:W46,D48:W48,D51:W53)/720*100=100,"OK - Table 3E is fully completed","WARNING - Table 3E is not fully completed, please fill in figure, L, M or 0")</f>
        <v>OK - Table 3E is fully completed</v>
      </c>
      <c r="E64" s="545"/>
      <c r="F64" s="545"/>
      <c r="G64" s="545"/>
      <c r="H64" s="545"/>
      <c r="I64" s="545"/>
      <c r="J64" s="545"/>
      <c r="K64" s="545"/>
      <c r="L64" s="545"/>
      <c r="M64" s="545"/>
      <c r="N64" s="545"/>
      <c r="O64" s="545"/>
      <c r="P64" s="545"/>
      <c r="Q64" s="545"/>
      <c r="R64" s="545"/>
      <c r="S64" s="545"/>
      <c r="T64" s="545"/>
      <c r="U64" s="545"/>
      <c r="V64" s="545"/>
      <c r="W64" s="545"/>
      <c r="X64" s="545"/>
      <c r="Y64" s="316"/>
      <c r="Z64" s="195"/>
      <c r="AA64" s="29"/>
      <c r="BB64" s="315"/>
    </row>
    <row r="65" spans="1:54" s="23" customFormat="1">
      <c r="A65" s="30"/>
      <c r="B65" s="20"/>
      <c r="C65" s="196" t="s">
        <v>121</v>
      </c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8"/>
      <c r="AA65" s="29"/>
      <c r="BB65" s="315"/>
    </row>
    <row r="66" spans="1:54" s="23" customFormat="1" ht="15.75">
      <c r="A66" s="30"/>
      <c r="B66" s="20"/>
      <c r="C66" s="317" t="s">
        <v>151</v>
      </c>
      <c r="D66" s="318">
        <f>IF(AND(D48="0",D10="0",D12="0",D31="0",D44="0")=0,IF(AND(D48="L",D10="L",D12="L",D31="L",D44="L")="NC",IF(D48="M",0,D48)-IF(D10="M",0,D10)-IF(D12="M",0,D12)-IF(D31="M",0,D31)-IF(D44="M",0,D44)))</f>
        <v>0</v>
      </c>
      <c r="E66" s="318">
        <f t="shared" ref="E66:S66" si="23">IF(AND(E48="0",E10="0",E12="0",E31="0",E44="0")=0,IF(AND(E48="L",E10="L",E12="L",E31="L",E44="L")="NC",IF(E48="M",0,E48)-IF(E10="M",0,E10)-IF(E12="M",0,E12)-IF(E31="M",0,E31)-IF(E44="M",0,E44)))</f>
        <v>0</v>
      </c>
      <c r="F66" s="318">
        <f t="shared" si="23"/>
        <v>0</v>
      </c>
      <c r="G66" s="318">
        <f t="shared" si="23"/>
        <v>0</v>
      </c>
      <c r="H66" s="318">
        <f t="shared" si="23"/>
        <v>0</v>
      </c>
      <c r="I66" s="318">
        <f t="shared" si="23"/>
        <v>0</v>
      </c>
      <c r="J66" s="318">
        <f t="shared" si="23"/>
        <v>0</v>
      </c>
      <c r="K66" s="318">
        <f t="shared" si="23"/>
        <v>0</v>
      </c>
      <c r="L66" s="318">
        <f t="shared" si="23"/>
        <v>0</v>
      </c>
      <c r="M66" s="318">
        <f t="shared" si="23"/>
        <v>0</v>
      </c>
      <c r="N66" s="318">
        <f t="shared" si="23"/>
        <v>0</v>
      </c>
      <c r="O66" s="318">
        <f t="shared" si="23"/>
        <v>0</v>
      </c>
      <c r="P66" s="318">
        <f t="shared" si="23"/>
        <v>0</v>
      </c>
      <c r="Q66" s="318">
        <f t="shared" si="23"/>
        <v>0</v>
      </c>
      <c r="R66" s="318">
        <f t="shared" si="23"/>
        <v>0</v>
      </c>
      <c r="S66" s="318">
        <f t="shared" si="23"/>
        <v>0</v>
      </c>
      <c r="T66" s="318">
        <f t="shared" ref="T66:V66" si="24">IF(AND(T48="0",T10="0",T12="0",T31="0",T44="0")=0,IF(AND(T48="L",T10="L",T12="L",T31="L",T44="L")="NC",IF(T48="M",0,T48)-IF(T10="M",0,T10)-IF(T12="M",0,T12)-IF(T31="M",0,T31)-IF(T44="M",0,T44)))</f>
        <v>0</v>
      </c>
      <c r="U66" s="318">
        <f t="shared" si="24"/>
        <v>0</v>
      </c>
      <c r="V66" s="318">
        <f t="shared" si="24"/>
        <v>0</v>
      </c>
      <c r="W66" s="318">
        <f t="shared" ref="W66:X66" si="25">IF(AND(W48="0",W10="0",W12="0",W31="0",W44="0")=0,IF(AND(W48="L",W10="L",W12="L",W31="L",W44="L")="NC",IF(W48="M",0,W48)-IF(W10="M",0,W10)-IF(W12="M",0,W12)-IF(W31="M",0,W31)-IF(W44="M",0,W44)))</f>
        <v>0</v>
      </c>
      <c r="X66" s="318">
        <f t="shared" si="25"/>
        <v>0</v>
      </c>
      <c r="Y66" s="363"/>
      <c r="Z66" s="198"/>
      <c r="AA66" s="29"/>
      <c r="BB66" s="315"/>
    </row>
    <row r="67" spans="1:54" s="23" customFormat="1" ht="15.75">
      <c r="A67" s="30"/>
      <c r="B67" s="20"/>
      <c r="C67" s="317" t="s">
        <v>526</v>
      </c>
      <c r="D67" s="318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318">
        <f t="shared" ref="E67:S67" si="26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318">
        <f t="shared" si="26"/>
        <v>0</v>
      </c>
      <c r="G67" s="318">
        <f t="shared" si="26"/>
        <v>0</v>
      </c>
      <c r="H67" s="318">
        <f t="shared" si="26"/>
        <v>0</v>
      </c>
      <c r="I67" s="318">
        <f t="shared" si="26"/>
        <v>0</v>
      </c>
      <c r="J67" s="318">
        <f t="shared" si="26"/>
        <v>0</v>
      </c>
      <c r="K67" s="318">
        <f t="shared" si="26"/>
        <v>0</v>
      </c>
      <c r="L67" s="318">
        <f t="shared" si="26"/>
        <v>0</v>
      </c>
      <c r="M67" s="318">
        <f t="shared" si="26"/>
        <v>0</v>
      </c>
      <c r="N67" s="318">
        <f t="shared" si="26"/>
        <v>0</v>
      </c>
      <c r="O67" s="318">
        <f t="shared" si="26"/>
        <v>0</v>
      </c>
      <c r="P67" s="318">
        <f t="shared" si="26"/>
        <v>0</v>
      </c>
      <c r="Q67" s="318">
        <f t="shared" si="26"/>
        <v>0</v>
      </c>
      <c r="R67" s="318">
        <f t="shared" si="26"/>
        <v>0</v>
      </c>
      <c r="S67" s="318">
        <f t="shared" si="26"/>
        <v>0</v>
      </c>
      <c r="T67" s="318">
        <f t="shared" ref="T67:V67" si="27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318">
        <f t="shared" si="27"/>
        <v>0</v>
      </c>
      <c r="V67" s="318">
        <f t="shared" si="27"/>
        <v>0</v>
      </c>
      <c r="W67" s="318">
        <f t="shared" ref="W67:X67" si="28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318">
        <f t="shared" si="28"/>
        <v>0</v>
      </c>
      <c r="Y67" s="363"/>
      <c r="Z67" s="198"/>
      <c r="AA67" s="29"/>
      <c r="BB67" s="315"/>
    </row>
    <row r="68" spans="1:54" s="23" customFormat="1" ht="15.75">
      <c r="A68" s="30"/>
      <c r="B68" s="20"/>
      <c r="C68" s="365" t="s">
        <v>152</v>
      </c>
      <c r="D68" s="318">
        <f>IF(AND(D15="0",D18="0",D19="0"),0,IF(AND(D15="L",D18="L",D19="L"),"NC",IF(D15="M",0,D15)-IF(D18="M",0,D18)-IF(D19="M",0,D19)))</f>
        <v>0</v>
      </c>
      <c r="E68" s="318">
        <f t="shared" ref="E68:S68" si="29">IF(AND(E15="0",E18="0",E19="0"),0,IF(AND(E15="L",E18="L",E19="L"),"NC",IF(E15="M",0,E15)-IF(E18="M",0,E18)-IF(E19="M",0,E19)))</f>
        <v>0</v>
      </c>
      <c r="F68" s="318">
        <f t="shared" si="29"/>
        <v>0</v>
      </c>
      <c r="G68" s="318">
        <f t="shared" si="29"/>
        <v>0</v>
      </c>
      <c r="H68" s="318">
        <f t="shared" si="29"/>
        <v>0</v>
      </c>
      <c r="I68" s="318">
        <f t="shared" si="29"/>
        <v>0</v>
      </c>
      <c r="J68" s="318">
        <f t="shared" si="29"/>
        <v>0</v>
      </c>
      <c r="K68" s="318">
        <f t="shared" si="29"/>
        <v>0</v>
      </c>
      <c r="L68" s="318">
        <f t="shared" si="29"/>
        <v>0</v>
      </c>
      <c r="M68" s="318">
        <f t="shared" si="29"/>
        <v>0</v>
      </c>
      <c r="N68" s="318">
        <f t="shared" si="29"/>
        <v>0</v>
      </c>
      <c r="O68" s="318">
        <f t="shared" si="29"/>
        <v>0</v>
      </c>
      <c r="P68" s="318">
        <f t="shared" si="29"/>
        <v>0</v>
      </c>
      <c r="Q68" s="318">
        <f t="shared" si="29"/>
        <v>0</v>
      </c>
      <c r="R68" s="318">
        <f t="shared" si="29"/>
        <v>0</v>
      </c>
      <c r="S68" s="318">
        <f t="shared" si="29"/>
        <v>0</v>
      </c>
      <c r="T68" s="318">
        <f t="shared" ref="T68:V68" si="30">IF(AND(T15="0",T18="0",T19="0"),0,IF(AND(T15="L",T18="L",T19="L"),"NC",IF(T15="M",0,T15)-IF(T18="M",0,T18)-IF(T19="M",0,T19)))</f>
        <v>0</v>
      </c>
      <c r="U68" s="318">
        <f t="shared" si="30"/>
        <v>0</v>
      </c>
      <c r="V68" s="318">
        <f t="shared" si="30"/>
        <v>0</v>
      </c>
      <c r="W68" s="318">
        <f t="shared" ref="W68:X68" si="31">IF(AND(W15="0",W18="0",W19="0"),0,IF(AND(W15="L",W18="L",W19="L"),"NC",IF(W15="M",0,W15)-IF(W18="M",0,W18)-IF(W19="M",0,W19)))</f>
        <v>0</v>
      </c>
      <c r="X68" s="318">
        <f t="shared" si="31"/>
        <v>0</v>
      </c>
      <c r="Y68" s="363"/>
      <c r="Z68" s="198"/>
      <c r="AA68" s="29"/>
      <c r="BB68" s="315"/>
    </row>
    <row r="69" spans="1:54" s="23" customFormat="1" ht="15.75">
      <c r="A69" s="30"/>
      <c r="B69" s="20"/>
      <c r="C69" s="516" t="s">
        <v>153</v>
      </c>
      <c r="D69" s="318">
        <f>IF(AND(D16="",D17=""),0,IF(AND(D16="L",D17="L"),"NC",IF(D15="M",0,D15)-IF(D16="M",0,D16)-IF(D17="M",0,D17)))</f>
        <v>0</v>
      </c>
      <c r="E69" s="318">
        <f t="shared" ref="E69:S69" si="32">IF(AND(E16="",E17=""),0,IF(AND(E16="L",E17="L"),"NC",IF(E15="M",0,E15)-IF(E16="M",0,E16)-IF(E17="M",0,E17)))</f>
        <v>0</v>
      </c>
      <c r="F69" s="318">
        <f t="shared" si="32"/>
        <v>0</v>
      </c>
      <c r="G69" s="318">
        <f t="shared" si="32"/>
        <v>0</v>
      </c>
      <c r="H69" s="318">
        <f t="shared" si="32"/>
        <v>0</v>
      </c>
      <c r="I69" s="318">
        <f t="shared" si="32"/>
        <v>0</v>
      </c>
      <c r="J69" s="318">
        <f t="shared" si="32"/>
        <v>0</v>
      </c>
      <c r="K69" s="318">
        <f t="shared" si="32"/>
        <v>0</v>
      </c>
      <c r="L69" s="318">
        <f t="shared" si="32"/>
        <v>0</v>
      </c>
      <c r="M69" s="318">
        <f t="shared" si="32"/>
        <v>0</v>
      </c>
      <c r="N69" s="318">
        <f t="shared" si="32"/>
        <v>0</v>
      </c>
      <c r="O69" s="318">
        <f t="shared" si="32"/>
        <v>0</v>
      </c>
      <c r="P69" s="318">
        <f t="shared" si="32"/>
        <v>0</v>
      </c>
      <c r="Q69" s="318">
        <f t="shared" si="32"/>
        <v>0</v>
      </c>
      <c r="R69" s="318">
        <f t="shared" si="32"/>
        <v>0</v>
      </c>
      <c r="S69" s="318">
        <f t="shared" si="32"/>
        <v>0</v>
      </c>
      <c r="T69" s="318">
        <f t="shared" ref="T69:V69" si="33">IF(AND(T16="",T17=""),0,IF(AND(T16="L",T17="L"),"NC",IF(T15="M",0,T15)-IF(T16="M",0,T16)-IF(T17="M",0,T17)))</f>
        <v>0</v>
      </c>
      <c r="U69" s="318">
        <f t="shared" si="33"/>
        <v>0</v>
      </c>
      <c r="V69" s="318">
        <f t="shared" si="33"/>
        <v>0</v>
      </c>
      <c r="W69" s="318">
        <f t="shared" ref="W69:X69" si="34">IF(AND(W16="",W17=""),0,IF(AND(W16="L",W17="L"),"NC",IF(W15="M",0,W15)-IF(W16="M",0,W16)-IF(W17="M",0,W17)))</f>
        <v>0</v>
      </c>
      <c r="X69" s="318">
        <f t="shared" si="34"/>
        <v>0</v>
      </c>
      <c r="Y69" s="363"/>
      <c r="Z69" s="198"/>
      <c r="AA69" s="29"/>
      <c r="BB69" s="315"/>
    </row>
    <row r="70" spans="1:54" s="23" customFormat="1" ht="15.75">
      <c r="A70" s="30"/>
      <c r="B70" s="20"/>
      <c r="C70" s="516" t="s">
        <v>154</v>
      </c>
      <c r="D70" s="318">
        <f>IF(AND(D20="",D21=""),0,IF(AND(D20="L",D21="L"),"NC",IF(D19="M",0,D19)-IF(D20="M",0,D20)-IF(D21="M",0,D21)))</f>
        <v>0</v>
      </c>
      <c r="E70" s="318">
        <f t="shared" ref="E70:S70" si="35">IF(AND(E20="",E21=""),0,IF(AND(E20="L",E21="L"),"NC",IF(E19="M",0,E19)-IF(E20="M",0,E20)-IF(E21="M",0,E21)))</f>
        <v>0</v>
      </c>
      <c r="F70" s="318">
        <f t="shared" si="35"/>
        <v>0</v>
      </c>
      <c r="G70" s="318">
        <f t="shared" si="35"/>
        <v>0</v>
      </c>
      <c r="H70" s="318">
        <f t="shared" si="35"/>
        <v>0</v>
      </c>
      <c r="I70" s="318">
        <f t="shared" si="35"/>
        <v>0</v>
      </c>
      <c r="J70" s="318">
        <f t="shared" si="35"/>
        <v>0</v>
      </c>
      <c r="K70" s="318">
        <f t="shared" si="35"/>
        <v>0</v>
      </c>
      <c r="L70" s="318">
        <f t="shared" si="35"/>
        <v>0</v>
      </c>
      <c r="M70" s="318">
        <f t="shared" si="35"/>
        <v>0</v>
      </c>
      <c r="N70" s="318">
        <f t="shared" si="35"/>
        <v>0</v>
      </c>
      <c r="O70" s="318">
        <f t="shared" si="35"/>
        <v>0</v>
      </c>
      <c r="P70" s="318">
        <f t="shared" si="35"/>
        <v>0</v>
      </c>
      <c r="Q70" s="318">
        <f t="shared" si="35"/>
        <v>0</v>
      </c>
      <c r="R70" s="318">
        <f t="shared" si="35"/>
        <v>0</v>
      </c>
      <c r="S70" s="318">
        <f t="shared" si="35"/>
        <v>0</v>
      </c>
      <c r="T70" s="318">
        <f t="shared" ref="T70:V70" si="36">IF(AND(T20="",T21=""),0,IF(AND(T20="L",T21="L"),"NC",IF(T19="M",0,T19)-IF(T20="M",0,T20)-IF(T21="M",0,T21)))</f>
        <v>0</v>
      </c>
      <c r="U70" s="318">
        <f t="shared" si="36"/>
        <v>0</v>
      </c>
      <c r="V70" s="318">
        <f t="shared" si="36"/>
        <v>0</v>
      </c>
      <c r="W70" s="318">
        <f t="shared" ref="W70:X70" si="37">IF(AND(W20="",W21=""),0,IF(AND(W20="L",W21="L"),"NC",IF(W19="M",0,W19)-IF(W20="M",0,W20)-IF(W21="M",0,W21)))</f>
        <v>0</v>
      </c>
      <c r="X70" s="318">
        <f t="shared" si="37"/>
        <v>0</v>
      </c>
      <c r="Y70" s="363"/>
      <c r="Z70" s="198"/>
      <c r="AA70" s="29"/>
      <c r="BB70" s="315"/>
    </row>
    <row r="71" spans="1:54" s="23" customFormat="1" ht="15.75">
      <c r="A71" s="30"/>
      <c r="B71" s="20"/>
      <c r="C71" s="516" t="s">
        <v>155</v>
      </c>
      <c r="D71" s="318">
        <f>IF(AND(D22="0",D23="0",D24="0"),0,IF(AND(D22="L",D23="L",D24="L"),"NC",IF(D22="M",0,D22)-IF(D23="M",0,D23)-IF(D24="M",0,D24)))</f>
        <v>0</v>
      </c>
      <c r="E71" s="318">
        <f t="shared" ref="E71:S71" si="38">IF(AND(E22="0",E23="0",E24="0"),0,IF(AND(E22="L",E23="L",E24="L"),"NC",IF(E22="M",0,E22)-IF(E23="M",0,E23)-IF(E24="M",0,E24)))</f>
        <v>0</v>
      </c>
      <c r="F71" s="318">
        <f t="shared" si="38"/>
        <v>0</v>
      </c>
      <c r="G71" s="318">
        <f t="shared" si="38"/>
        <v>0</v>
      </c>
      <c r="H71" s="318">
        <f t="shared" si="38"/>
        <v>0</v>
      </c>
      <c r="I71" s="318">
        <f t="shared" si="38"/>
        <v>0</v>
      </c>
      <c r="J71" s="318">
        <f t="shared" si="38"/>
        <v>0</v>
      </c>
      <c r="K71" s="318">
        <f t="shared" si="38"/>
        <v>0</v>
      </c>
      <c r="L71" s="318">
        <f t="shared" si="38"/>
        <v>0</v>
      </c>
      <c r="M71" s="318">
        <f t="shared" si="38"/>
        <v>0</v>
      </c>
      <c r="N71" s="318">
        <f t="shared" si="38"/>
        <v>0</v>
      </c>
      <c r="O71" s="318">
        <f t="shared" si="38"/>
        <v>0</v>
      </c>
      <c r="P71" s="318">
        <f t="shared" si="38"/>
        <v>0</v>
      </c>
      <c r="Q71" s="318">
        <f t="shared" si="38"/>
        <v>0</v>
      </c>
      <c r="R71" s="318">
        <f t="shared" si="38"/>
        <v>0</v>
      </c>
      <c r="S71" s="318">
        <f t="shared" si="38"/>
        <v>0</v>
      </c>
      <c r="T71" s="318">
        <f t="shared" ref="T71:V71" si="39">IF(AND(T22="0",T23="0",T24="0"),0,IF(AND(T22="L",T23="L",T24="L"),"NC",IF(T22="M",0,T22)-IF(T23="M",0,T23)-IF(T24="M",0,T24)))</f>
        <v>0</v>
      </c>
      <c r="U71" s="318">
        <f t="shared" si="39"/>
        <v>0</v>
      </c>
      <c r="V71" s="318">
        <f t="shared" si="39"/>
        <v>0</v>
      </c>
      <c r="W71" s="318">
        <f t="shared" ref="W71:X71" si="40">IF(AND(W22="0",W23="0",W24="0"),0,IF(AND(W22="L",W23="L",W24="L"),"NC",IF(W22="M",0,W22)-IF(W23="M",0,W23)-IF(W24="M",0,W24)))</f>
        <v>0</v>
      </c>
      <c r="X71" s="318">
        <f t="shared" si="40"/>
        <v>0</v>
      </c>
      <c r="Y71" s="363"/>
      <c r="Z71" s="198"/>
      <c r="AA71" s="29"/>
      <c r="BB71" s="315"/>
    </row>
    <row r="72" spans="1:54" s="23" customFormat="1" ht="15.75">
      <c r="A72" s="30"/>
      <c r="B72" s="20"/>
      <c r="C72" s="516" t="s">
        <v>156</v>
      </c>
      <c r="D72" s="318">
        <f>IF(AND(D25="",D26=""),0,IF(AND(D25="L",D26="L"),"NC",IF(D24="M",0,D24)-IF(D25="M",0,D25)-IF(D26="M",0,D26)))</f>
        <v>0</v>
      </c>
      <c r="E72" s="318">
        <f t="shared" ref="E72:S72" si="41">IF(AND(E25="",E26=""),0,IF(AND(E25="L",E26="L"),"NC",IF(E24="M",0,E24)-IF(E25="M",0,E25)-IF(E26="M",0,E26)))</f>
        <v>0</v>
      </c>
      <c r="F72" s="318">
        <f t="shared" si="41"/>
        <v>0</v>
      </c>
      <c r="G72" s="318">
        <f t="shared" si="41"/>
        <v>0</v>
      </c>
      <c r="H72" s="318">
        <f t="shared" si="41"/>
        <v>0</v>
      </c>
      <c r="I72" s="318">
        <f t="shared" si="41"/>
        <v>0</v>
      </c>
      <c r="J72" s="318">
        <f t="shared" si="41"/>
        <v>0</v>
      </c>
      <c r="K72" s="318">
        <f t="shared" si="41"/>
        <v>0</v>
      </c>
      <c r="L72" s="318">
        <f t="shared" si="41"/>
        <v>0</v>
      </c>
      <c r="M72" s="318">
        <f t="shared" si="41"/>
        <v>0</v>
      </c>
      <c r="N72" s="318">
        <f t="shared" si="41"/>
        <v>0</v>
      </c>
      <c r="O72" s="318">
        <f t="shared" si="41"/>
        <v>0</v>
      </c>
      <c r="P72" s="318">
        <f t="shared" si="41"/>
        <v>0</v>
      </c>
      <c r="Q72" s="318">
        <f t="shared" si="41"/>
        <v>0</v>
      </c>
      <c r="R72" s="318">
        <f t="shared" si="41"/>
        <v>0</v>
      </c>
      <c r="S72" s="318">
        <f t="shared" si="41"/>
        <v>0</v>
      </c>
      <c r="T72" s="318">
        <f t="shared" ref="T72:V72" si="42">IF(AND(T25="",T26=""),0,IF(AND(T25="L",T26="L"),"NC",IF(T24="M",0,T24)-IF(T25="M",0,T25)-IF(T26="M",0,T26)))</f>
        <v>0</v>
      </c>
      <c r="U72" s="318">
        <f t="shared" si="42"/>
        <v>0</v>
      </c>
      <c r="V72" s="318">
        <f t="shared" si="42"/>
        <v>0</v>
      </c>
      <c r="W72" s="318">
        <f t="shared" ref="W72:X72" si="43">IF(AND(W25="",W26=""),0,IF(AND(W25="L",W26="L"),"NC",IF(W24="M",0,W24)-IF(W25="M",0,W25)-IF(W26="M",0,W26)))</f>
        <v>0</v>
      </c>
      <c r="X72" s="318">
        <f t="shared" si="43"/>
        <v>0</v>
      </c>
      <c r="Y72" s="363"/>
      <c r="Z72" s="198"/>
      <c r="AA72" s="29"/>
      <c r="BB72" s="315"/>
    </row>
    <row r="73" spans="1:54" s="23" customFormat="1" ht="23.25">
      <c r="A73" s="30"/>
      <c r="B73" s="20"/>
      <c r="C73" s="317" t="s">
        <v>527</v>
      </c>
      <c r="D73" s="318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318">
        <f t="shared" ref="E73:S73" si="44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318">
        <f t="shared" si="44"/>
        <v>0</v>
      </c>
      <c r="G73" s="318">
        <f t="shared" si="44"/>
        <v>0</v>
      </c>
      <c r="H73" s="318">
        <f t="shared" si="44"/>
        <v>0</v>
      </c>
      <c r="I73" s="318">
        <f t="shared" si="44"/>
        <v>0</v>
      </c>
      <c r="J73" s="318">
        <f t="shared" si="44"/>
        <v>0</v>
      </c>
      <c r="K73" s="318">
        <f t="shared" si="44"/>
        <v>0</v>
      </c>
      <c r="L73" s="318">
        <f t="shared" si="44"/>
        <v>0</v>
      </c>
      <c r="M73" s="318">
        <f t="shared" si="44"/>
        <v>0</v>
      </c>
      <c r="N73" s="318">
        <f t="shared" si="44"/>
        <v>0</v>
      </c>
      <c r="O73" s="318">
        <f t="shared" si="44"/>
        <v>0</v>
      </c>
      <c r="P73" s="318">
        <f t="shared" si="44"/>
        <v>0</v>
      </c>
      <c r="Q73" s="318">
        <f t="shared" si="44"/>
        <v>0</v>
      </c>
      <c r="R73" s="318">
        <f t="shared" si="44"/>
        <v>0</v>
      </c>
      <c r="S73" s="318">
        <f t="shared" si="44"/>
        <v>0</v>
      </c>
      <c r="T73" s="318">
        <f t="shared" ref="T73:V73" si="45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318">
        <f t="shared" si="45"/>
        <v>0</v>
      </c>
      <c r="V73" s="318">
        <f t="shared" si="45"/>
        <v>0</v>
      </c>
      <c r="W73" s="318">
        <f t="shared" ref="W73:X73" si="46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0</v>
      </c>
      <c r="X73" s="318">
        <f t="shared" si="46"/>
        <v>0</v>
      </c>
      <c r="Y73" s="363"/>
      <c r="Z73" s="198"/>
      <c r="AA73" s="29"/>
      <c r="BB73" s="315"/>
    </row>
    <row r="74" spans="1:54" s="23" customFormat="1" ht="15.75">
      <c r="A74" s="30"/>
      <c r="B74" s="20"/>
      <c r="C74" s="317" t="s">
        <v>157</v>
      </c>
      <c r="D74" s="318">
        <f>IF(AND(D44="0",D45="0",D46="0"),0,IF(AND(D44="L",D45="L",D46="L"),"NC",IF(D44="M",0,D44)-IF(D45="M",0,D45)-IF(D46="M",0,D46)))</f>
        <v>0</v>
      </c>
      <c r="E74" s="318">
        <f t="shared" ref="E74:S74" si="47">IF(AND(E44="0",E45="0",E46="0"),0,IF(AND(E44="L",E45="L",E46="L"),"NC",IF(E44="M",0,E44)-IF(E45="M",0,E45)-IF(E46="M",0,E46)))</f>
        <v>0</v>
      </c>
      <c r="F74" s="318">
        <f t="shared" si="47"/>
        <v>0</v>
      </c>
      <c r="G74" s="318">
        <f t="shared" si="47"/>
        <v>0</v>
      </c>
      <c r="H74" s="318">
        <f t="shared" si="47"/>
        <v>0</v>
      </c>
      <c r="I74" s="318">
        <f t="shared" si="47"/>
        <v>0</v>
      </c>
      <c r="J74" s="318">
        <f t="shared" si="47"/>
        <v>0</v>
      </c>
      <c r="K74" s="318">
        <f t="shared" si="47"/>
        <v>0</v>
      </c>
      <c r="L74" s="318">
        <f t="shared" si="47"/>
        <v>0</v>
      </c>
      <c r="M74" s="318">
        <f t="shared" si="47"/>
        <v>0</v>
      </c>
      <c r="N74" s="318">
        <f t="shared" si="47"/>
        <v>0</v>
      </c>
      <c r="O74" s="318">
        <f t="shared" si="47"/>
        <v>0</v>
      </c>
      <c r="P74" s="318">
        <f t="shared" si="47"/>
        <v>0</v>
      </c>
      <c r="Q74" s="318">
        <f t="shared" si="47"/>
        <v>0</v>
      </c>
      <c r="R74" s="318">
        <f t="shared" si="47"/>
        <v>0</v>
      </c>
      <c r="S74" s="318">
        <f t="shared" si="47"/>
        <v>0</v>
      </c>
      <c r="T74" s="318">
        <f t="shared" ref="T74:V74" si="48">IF(AND(T44="0",T45="0",T46="0"),0,IF(AND(T44="L",T45="L",T46="L"),"NC",IF(T44="M",0,T44)-IF(T45="M",0,T45)-IF(T46="M",0,T46)))</f>
        <v>0</v>
      </c>
      <c r="U74" s="318">
        <f t="shared" si="48"/>
        <v>0</v>
      </c>
      <c r="V74" s="318">
        <f t="shared" si="48"/>
        <v>0</v>
      </c>
      <c r="W74" s="318">
        <f t="shared" ref="W74:X74" si="49">IF(AND(W44="0",W45="0",W46="0"),0,IF(AND(W44="L",W45="L",W46="L"),"NC",IF(W44="M",0,W44)-IF(W45="M",0,W45)-IF(W46="M",0,W46)))</f>
        <v>0</v>
      </c>
      <c r="X74" s="318">
        <f t="shared" si="49"/>
        <v>0</v>
      </c>
      <c r="Y74" s="197"/>
      <c r="Z74" s="198"/>
      <c r="BB74" s="315"/>
    </row>
    <row r="75" spans="1:54" s="23" customFormat="1" ht="15.75">
      <c r="A75" s="30"/>
      <c r="B75" s="20"/>
      <c r="C75" s="317" t="s">
        <v>144</v>
      </c>
      <c r="D75" s="318">
        <f>IF(AND(D51="0",D52="0",D53="0"),0,IF(AND(D51="L",D52="L",D53="L"),"NC",IF(D51="M",0,D51)-IF(D52="M",0,D52)+IF(D53="M",0,D53)))</f>
        <v>1.8189894035458565E-12</v>
      </c>
      <c r="E75" s="318">
        <f t="shared" ref="E75:S75" si="50">IF(AND(E51="0",E52="0",E53="0"),0,IF(AND(E51="L",E52="L",E53="L"),"NC",IF(E51="M",0,E51)-IF(E52="M",0,E52)+IF(E53="M",0,E53)))</f>
        <v>0</v>
      </c>
      <c r="F75" s="318">
        <f t="shared" si="50"/>
        <v>0</v>
      </c>
      <c r="G75" s="318">
        <f t="shared" si="50"/>
        <v>0</v>
      </c>
      <c r="H75" s="318">
        <f t="shared" si="50"/>
        <v>0</v>
      </c>
      <c r="I75" s="318">
        <f t="shared" si="50"/>
        <v>0</v>
      </c>
      <c r="J75" s="318">
        <f t="shared" si="50"/>
        <v>0</v>
      </c>
      <c r="K75" s="318">
        <f t="shared" si="50"/>
        <v>0</v>
      </c>
      <c r="L75" s="318">
        <f t="shared" si="50"/>
        <v>0</v>
      </c>
      <c r="M75" s="318">
        <f t="shared" si="50"/>
        <v>0</v>
      </c>
      <c r="N75" s="318">
        <f t="shared" si="50"/>
        <v>0</v>
      </c>
      <c r="O75" s="318">
        <f t="shared" si="50"/>
        <v>0</v>
      </c>
      <c r="P75" s="318">
        <f t="shared" si="50"/>
        <v>0</v>
      </c>
      <c r="Q75" s="318">
        <f t="shared" si="50"/>
        <v>0</v>
      </c>
      <c r="R75" s="318">
        <f t="shared" si="50"/>
        <v>0</v>
      </c>
      <c r="S75" s="318">
        <f t="shared" si="50"/>
        <v>0</v>
      </c>
      <c r="T75" s="318">
        <f t="shared" ref="T75:V75" si="51">IF(AND(T51="0",T52="0",T53="0"),0,IF(AND(T51="L",T52="L",T53="L"),"NC",IF(T51="M",0,T51)-IF(T52="M",0,T52)+IF(T53="M",0,T53)))</f>
        <v>0</v>
      </c>
      <c r="U75" s="318">
        <f t="shared" si="51"/>
        <v>0</v>
      </c>
      <c r="V75" s="318">
        <f t="shared" si="51"/>
        <v>0</v>
      </c>
      <c r="W75" s="318">
        <f t="shared" ref="W75:X75" si="52">IF(AND(W51="0",W52="0",W53="0"),0,IF(AND(W51="L",W52="L",W53="L"),"NC",IF(W51="M",0,W51)-IF(W52="M",0,W52)+IF(W53="M",0,W53)))</f>
        <v>0</v>
      </c>
      <c r="X75" s="318">
        <f t="shared" si="52"/>
        <v>0</v>
      </c>
      <c r="Y75" s="197"/>
      <c r="Z75" s="198"/>
      <c r="BB75" s="315"/>
    </row>
    <row r="76" spans="1:54" s="23" customFormat="1" ht="15.75">
      <c r="A76" s="30"/>
      <c r="B76" s="20"/>
      <c r="C76" s="319" t="s">
        <v>127</v>
      </c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197"/>
      <c r="Z76" s="198"/>
      <c r="BB76" s="315"/>
    </row>
    <row r="77" spans="1:54" s="23" customFormat="1" ht="15.75">
      <c r="A77" s="30"/>
      <c r="B77" s="20"/>
      <c r="C77" s="320" t="s">
        <v>158</v>
      </c>
      <c r="D77" s="203">
        <f>IF(AND('Table 1'!E14="0",D10="0"),0,IF(AND('Table 1'!E14="L",D10="L"),"NC",IF('Table 1'!E14="M",0,'Table 1'!E14)+IF(D10="M",0,D10)))</f>
        <v>0</v>
      </c>
      <c r="E77" s="203">
        <f>IF(AND('Table 1'!F14="0",E10="0"),0,IF(AND('Table 1'!F14="L",E10="L"),"NC",IF('Table 1'!F14="M",0,'Table 1'!F14)+IF(E10="M",0,E10)))</f>
        <v>0</v>
      </c>
      <c r="F77" s="203">
        <f>IF(AND('Table 1'!G14="0",F10="0"),0,IF(AND('Table 1'!G14="L",F10="L"),"NC",IF('Table 1'!G14="M",0,'Table 1'!G14)+IF(F10="M",0,F10)))</f>
        <v>0</v>
      </c>
      <c r="G77" s="203">
        <f>IF(AND('Table 1'!H14="0",G10="0"),0,IF(AND('Table 1'!H14="L",G10="L"),"NC",IF('Table 1'!H14="M",0,'Table 1'!H14)+IF(G10="M",0,G10)))</f>
        <v>0</v>
      </c>
      <c r="H77" s="203">
        <f>IF(AND('Table 1'!I14="0",H10="0"),0,IF(AND('Table 1'!I14="L",H10="L"),"NC",IF('Table 1'!I14="M",0,'Table 1'!I14)+IF(H10="M",0,H10)))</f>
        <v>0</v>
      </c>
      <c r="I77" s="203">
        <f>IF(AND('Table 1'!J14="0",I10="0"),0,IF(AND('Table 1'!J14="L",I10="L"),"NC",IF('Table 1'!J14="M",0,'Table 1'!J14)+IF(I10="M",0,I10)))</f>
        <v>0</v>
      </c>
      <c r="J77" s="203">
        <f>IF(AND('Table 1'!K14="0",J10="0"),0,IF(AND('Table 1'!K14="L",J10="L"),"NC",IF('Table 1'!K14="M",0,'Table 1'!K14)+IF(J10="M",0,J10)))</f>
        <v>0</v>
      </c>
      <c r="K77" s="203">
        <f>IF(AND('Table 1'!L14="0",K10="0"),0,IF(AND('Table 1'!L14="L",K10="L"),"NC",IF('Table 1'!L14="M",0,'Table 1'!L14)+IF(K10="M",0,K10)))</f>
        <v>0</v>
      </c>
      <c r="L77" s="203">
        <f>IF(AND('Table 1'!M14="0",L10="0"),0,IF(AND('Table 1'!M14="L",L10="L"),"NC",IF('Table 1'!M14="M",0,'Table 1'!M14)+IF(L10="M",0,L10)))</f>
        <v>0</v>
      </c>
      <c r="M77" s="203">
        <f>IF(AND('Table 1'!N14="0",M10="0"),0,IF(AND('Table 1'!N14="L",M10="L"),"NC",IF('Table 1'!N14="M",0,'Table 1'!N14)+IF(M10="M",0,M10)))</f>
        <v>0</v>
      </c>
      <c r="N77" s="203">
        <f>IF(AND('Table 1'!O14="0",N10="0"),0,IF(AND('Table 1'!O14="L",N10="L"),"NC",IF('Table 1'!O14="M",0,'Table 1'!O14)+IF(N10="M",0,N10)))</f>
        <v>0</v>
      </c>
      <c r="O77" s="203">
        <f>IF(AND('Table 1'!P14="0",O10="0"),0,IF(AND('Table 1'!P14="L",O10="L"),"NC",IF('Table 1'!P14="M",0,'Table 1'!P14)+IF(O10="M",0,O10)))</f>
        <v>0</v>
      </c>
      <c r="P77" s="203">
        <f>IF(AND('Table 1'!Q14="0",P10="0"),0,IF(AND('Table 1'!Q14="L",P10="L"),"NC",IF('Table 1'!Q14="M",0,'Table 1'!Q14)+IF(P10="M",0,P10)))</f>
        <v>0</v>
      </c>
      <c r="Q77" s="203">
        <f>IF(AND('Table 1'!R14="0",Q10="0"),0,IF(AND('Table 1'!R14="L",Q10="L"),"NC",IF('Table 1'!R14="M",0,'Table 1'!R14)+IF(Q10="M",0,Q10)))</f>
        <v>0</v>
      </c>
      <c r="R77" s="203">
        <f>IF(AND('Table 1'!S14="0",R10="0"),0,IF(AND('Table 1'!S14="L",R10="L"),"NC",IF('Table 1'!S14="M",0,'Table 1'!S14)+IF(R10="M",0,R10)))</f>
        <v>0</v>
      </c>
      <c r="S77" s="203">
        <f>IF(AND('Table 1'!T14="0",S10="0"),0,IF(AND('Table 1'!T14="L",S10="L"),"NC",IF('Table 1'!T14="M",0,'Table 1'!T14)+IF(S10="M",0,S10)))</f>
        <v>0</v>
      </c>
      <c r="T77" s="203">
        <f>IF(AND('Table 1'!U14="0",T10="0"),0,IF(AND('Table 1'!U14="L",T10="L"),"NC",IF('Table 1'!U14="M",0,'Table 1'!U14)+IF(T10="M",0,T10)))</f>
        <v>0</v>
      </c>
      <c r="U77" s="203">
        <f>IF(AND('Table 1'!V14="0",U10="0"),0,IF(AND('Table 1'!V14="L",U10="L"),"NC",IF('Table 1'!V14="M",0,'Table 1'!V14)+IF(U10="M",0,U10)))</f>
        <v>0</v>
      </c>
      <c r="V77" s="203">
        <f>IF(AND('Table 1'!W14="0",V10="0"),0,IF(AND('Table 1'!W14="L",V10="L"),"NC",IF('Table 1'!W14="M",0,'Table 1'!W14)+IF(V10="M",0,V10)))</f>
        <v>0</v>
      </c>
      <c r="W77" s="203">
        <f>IF(AND('Table 1'!X14="0",W10="0"),0,IF(AND('Table 1'!X14="L",W10="L"),"NC",IF('Table 1'!X14="M",0,'Table 1'!X14)+IF(W10="M",0,W10)))</f>
        <v>0</v>
      </c>
      <c r="X77" s="203">
        <f>IF(AND('Table 1'!Y14="0",X10="0"),0,IF(AND('Table 1'!Y14="L",X10="L"),"NC",IF('Table 1'!Y14="M",0,'Table 1'!Y14)+IF(X10="M",0,X10)))</f>
        <v>0</v>
      </c>
      <c r="Y77" s="321"/>
      <c r="Z77" s="322"/>
      <c r="BB77" s="315"/>
    </row>
  </sheetData>
  <sheetProtection algorithmName="SHA-512" hashValue="bsE17o0dnApeTaM3iJez9rNCNKwMO2EFFhr/ZgK49JP6ptgwp3qWPHKoVlBw7AIlLLfF8H66XNh0wpGJt1ZWYg==" saltValue="oaA1LvurWkJ8dq/ceYjNpg==" spinCount="100000" sheet="1" objects="1" formatColumns="0" formatRows="0" insertHyperlinks="0"/>
  <mergeCells count="2">
    <mergeCell ref="D6:X6"/>
    <mergeCell ref="D64:X64"/>
  </mergeCells>
  <phoneticPr fontId="35" type="noConversion"/>
  <conditionalFormatting sqref="D10:X10 D13:X29 D32:X34 D36:X38 D40:X42 D44:X46 D48:X48 D51:X53">
    <cfRule type="cellIs" dxfId="3" priority="3" operator="equal">
      <formula>""</formula>
    </cfRule>
  </conditionalFormatting>
  <conditionalFormatting sqref="D64">
    <cfRule type="expression" dxfId="2" priority="179" stopIfTrue="1">
      <formula>COUNTA(D10:V10,D12:V29,D31:V34,D36:V38,D40:V42,D44:V46,D48:V48,D51:V53)/684*100&lt;&gt;100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BB44"/>
  <sheetViews>
    <sheetView showGridLines="0" defaultGridColor="0" topLeftCell="B1" colorId="22" zoomScaleNormal="100" zoomScaleSheetLayoutView="80" workbookViewId="0"/>
  </sheetViews>
  <sheetFormatPr defaultColWidth="9.77734375" defaultRowHeight="15.75"/>
  <cols>
    <col min="1" max="1" width="30.88671875" style="211" hidden="1" customWidth="1"/>
    <col min="2" max="2" width="35.6640625" style="211" customWidth="1"/>
    <col min="3" max="3" width="10.33203125" style="13" customWidth="1"/>
    <col min="4" max="4" width="40.77734375" style="13" customWidth="1"/>
    <col min="5" max="5" width="20" style="13" customWidth="1"/>
    <col min="6" max="26" width="10.88671875" style="13" customWidth="1"/>
    <col min="27" max="30" width="9.77734375" style="13"/>
    <col min="31" max="31" width="13.109375" style="13" customWidth="1"/>
    <col min="32" max="32" width="9.33203125" style="13" customWidth="1"/>
    <col min="33" max="53" width="9.77734375" style="13"/>
    <col min="54" max="54" width="9.77734375" style="226"/>
    <col min="55" max="16384" width="9.77734375" style="13"/>
  </cols>
  <sheetData>
    <row r="1" spans="1:54" ht="7.5" customHeight="1">
      <c r="A1" s="437" t="s">
        <v>442</v>
      </c>
      <c r="B1" s="437"/>
      <c r="AB1" s="219" t="s">
        <v>1014</v>
      </c>
      <c r="AC1" s="438" t="s">
        <v>451</v>
      </c>
      <c r="AD1" s="438">
        <v>5</v>
      </c>
      <c r="AE1" s="438">
        <v>6</v>
      </c>
      <c r="AF1" s="438">
        <v>7</v>
      </c>
      <c r="AG1" s="438">
        <v>8</v>
      </c>
      <c r="AH1" s="438">
        <v>9</v>
      </c>
      <c r="AI1" s="219">
        <f>AH1+1</f>
        <v>10</v>
      </c>
      <c r="AJ1" s="219">
        <f t="shared" ref="AJ1:AU1" si="0">AI1+1</f>
        <v>11</v>
      </c>
      <c r="AK1" s="219">
        <f t="shared" si="0"/>
        <v>12</v>
      </c>
      <c r="AL1" s="219">
        <f t="shared" si="0"/>
        <v>13</v>
      </c>
      <c r="AM1" s="219">
        <f t="shared" si="0"/>
        <v>14</v>
      </c>
      <c r="AN1" s="219">
        <f t="shared" si="0"/>
        <v>15</v>
      </c>
      <c r="AO1" s="219">
        <f t="shared" si="0"/>
        <v>16</v>
      </c>
      <c r="AP1" s="219">
        <f t="shared" si="0"/>
        <v>17</v>
      </c>
      <c r="AQ1" s="219">
        <f t="shared" si="0"/>
        <v>18</v>
      </c>
      <c r="AR1" s="219">
        <f t="shared" si="0"/>
        <v>19</v>
      </c>
      <c r="AS1" s="219">
        <f t="shared" si="0"/>
        <v>20</v>
      </c>
      <c r="AT1" s="219">
        <f t="shared" si="0"/>
        <v>21</v>
      </c>
      <c r="AU1" s="219">
        <f t="shared" si="0"/>
        <v>22</v>
      </c>
    </row>
    <row r="2" spans="1:54" ht="18.75">
      <c r="A2" s="437"/>
      <c r="B2" s="437"/>
      <c r="C2" s="439" t="s">
        <v>1</v>
      </c>
      <c r="D2" s="226"/>
      <c r="E2" s="440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B2" s="219">
        <f>IF($AB$1='Cover page'!$N$2,0,1)</f>
        <v>0</v>
      </c>
      <c r="AC2" s="438" t="s">
        <v>452</v>
      </c>
    </row>
    <row r="3" spans="1:54" ht="16.5" thickBot="1">
      <c r="A3" s="437"/>
      <c r="B3" s="437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C3" s="438" t="s">
        <v>453</v>
      </c>
    </row>
    <row r="4" spans="1:54" ht="16.5" thickTop="1">
      <c r="A4" s="441"/>
      <c r="B4" s="442"/>
      <c r="C4" s="38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443"/>
    </row>
    <row r="5" spans="1:54">
      <c r="A5" s="245"/>
      <c r="B5" s="444"/>
      <c r="C5" s="381"/>
      <c r="D5" s="224" t="str">
        <f>'Cover page'!E13</f>
        <v>Member State: Hungary</v>
      </c>
      <c r="E5" s="226"/>
      <c r="F5" s="546" t="s">
        <v>2</v>
      </c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7"/>
      <c r="R5" s="547"/>
      <c r="S5" s="547"/>
      <c r="T5" s="547"/>
      <c r="U5" s="547"/>
      <c r="V5" s="547"/>
      <c r="W5" s="547"/>
      <c r="X5" s="547"/>
      <c r="Y5" s="547"/>
      <c r="Z5" s="547"/>
      <c r="AA5" s="445"/>
    </row>
    <row r="6" spans="1:54">
      <c r="A6" s="245"/>
      <c r="B6" s="420" t="s">
        <v>485</v>
      </c>
      <c r="C6" s="381"/>
      <c r="D6" s="332" t="s">
        <v>68</v>
      </c>
      <c r="E6" s="446"/>
      <c r="F6" s="299">
        <f>'Table 1'!E5</f>
        <v>1995</v>
      </c>
      <c r="G6" s="299">
        <f>F6+1</f>
        <v>1996</v>
      </c>
      <c r="H6" s="299">
        <f t="shared" ref="H6:K6" si="1">G6+1</f>
        <v>1997</v>
      </c>
      <c r="I6" s="299">
        <f t="shared" si="1"/>
        <v>1998</v>
      </c>
      <c r="J6" s="299">
        <f t="shared" si="1"/>
        <v>1999</v>
      </c>
      <c r="K6" s="299">
        <f t="shared" si="1"/>
        <v>2000</v>
      </c>
      <c r="L6" s="299">
        <f t="shared" ref="L6" si="2">K6+1</f>
        <v>2001</v>
      </c>
      <c r="M6" s="299">
        <f t="shared" ref="M6" si="3">L6+1</f>
        <v>2002</v>
      </c>
      <c r="N6" s="299">
        <f t="shared" ref="N6" si="4">M6+1</f>
        <v>2003</v>
      </c>
      <c r="O6" s="299">
        <f t="shared" ref="O6" si="5">N6+1</f>
        <v>2004</v>
      </c>
      <c r="P6" s="299">
        <f t="shared" ref="P6" si="6">O6+1</f>
        <v>2005</v>
      </c>
      <c r="Q6" s="299">
        <f t="shared" ref="Q6" si="7">P6+1</f>
        <v>2006</v>
      </c>
      <c r="R6" s="299">
        <f t="shared" ref="R6" si="8">Q6+1</f>
        <v>2007</v>
      </c>
      <c r="S6" s="299">
        <f t="shared" ref="S6" si="9">R6+1</f>
        <v>2008</v>
      </c>
      <c r="T6" s="299">
        <f t="shared" ref="T6" si="10">S6+1</f>
        <v>2009</v>
      </c>
      <c r="U6" s="299">
        <f t="shared" ref="U6" si="11">T6+1</f>
        <v>2010</v>
      </c>
      <c r="V6" s="299">
        <f t="shared" ref="V6" si="12">U6+1</f>
        <v>2011</v>
      </c>
      <c r="W6" s="299">
        <f t="shared" ref="W6" si="13">V6+1</f>
        <v>2012</v>
      </c>
      <c r="X6" s="299">
        <f t="shared" ref="X6:Z6" si="14">W6+1</f>
        <v>2013</v>
      </c>
      <c r="Y6" s="299">
        <f t="shared" si="14"/>
        <v>2014</v>
      </c>
      <c r="Z6" s="299">
        <f t="shared" si="14"/>
        <v>2015</v>
      </c>
      <c r="AA6" s="445"/>
    </row>
    <row r="7" spans="1:54">
      <c r="A7" s="245"/>
      <c r="B7" s="447"/>
      <c r="C7" s="381"/>
      <c r="D7" s="238" t="str">
        <f>'Cover page'!E14</f>
        <v>Date: 09/04/2020</v>
      </c>
      <c r="E7" s="448"/>
      <c r="F7" s="431" t="s">
        <v>453</v>
      </c>
      <c r="G7" s="431" t="s">
        <v>453</v>
      </c>
      <c r="H7" s="431" t="s">
        <v>453</v>
      </c>
      <c r="I7" s="431" t="s">
        <v>453</v>
      </c>
      <c r="J7" s="431" t="s">
        <v>453</v>
      </c>
      <c r="K7" s="431" t="s">
        <v>453</v>
      </c>
      <c r="L7" s="431" t="s">
        <v>453</v>
      </c>
      <c r="M7" s="431" t="s">
        <v>453</v>
      </c>
      <c r="N7" s="431" t="s">
        <v>453</v>
      </c>
      <c r="O7" s="431" t="s">
        <v>453</v>
      </c>
      <c r="P7" s="431" t="s">
        <v>453</v>
      </c>
      <c r="Q7" s="431" t="s">
        <v>453</v>
      </c>
      <c r="R7" s="431" t="s">
        <v>453</v>
      </c>
      <c r="S7" s="431" t="s">
        <v>453</v>
      </c>
      <c r="T7" s="431" t="s">
        <v>453</v>
      </c>
      <c r="U7" s="431" t="s">
        <v>453</v>
      </c>
      <c r="V7" s="431" t="s">
        <v>453</v>
      </c>
      <c r="W7" s="431" t="s">
        <v>453</v>
      </c>
      <c r="X7" s="494" t="s">
        <v>453</v>
      </c>
      <c r="Y7" s="494" t="s">
        <v>453</v>
      </c>
      <c r="Z7" s="494" t="s">
        <v>453</v>
      </c>
      <c r="AA7" s="445"/>
    </row>
    <row r="8" spans="1:54" ht="16.5" thickBot="1">
      <c r="A8" s="245"/>
      <c r="B8" s="444"/>
      <c r="C8" s="382" t="s">
        <v>37</v>
      </c>
      <c r="D8" s="449"/>
      <c r="E8" s="450"/>
      <c r="F8" s="508">
        <f t="shared" ref="F8:R8" si="15">IFERROR(VLOOKUP(F7,StatusTable,2,FALSE), -1)</f>
        <v>3</v>
      </c>
      <c r="G8" s="508">
        <f t="shared" si="15"/>
        <v>3</v>
      </c>
      <c r="H8" s="508">
        <f t="shared" si="15"/>
        <v>3</v>
      </c>
      <c r="I8" s="508">
        <f t="shared" si="15"/>
        <v>3</v>
      </c>
      <c r="J8" s="508">
        <f t="shared" si="15"/>
        <v>3</v>
      </c>
      <c r="K8" s="508">
        <f t="shared" si="15"/>
        <v>3</v>
      </c>
      <c r="L8" s="508">
        <f t="shared" si="15"/>
        <v>3</v>
      </c>
      <c r="M8" s="508">
        <f t="shared" si="15"/>
        <v>3</v>
      </c>
      <c r="N8" s="508">
        <f t="shared" si="15"/>
        <v>3</v>
      </c>
      <c r="O8" s="508">
        <f t="shared" si="15"/>
        <v>3</v>
      </c>
      <c r="P8" s="508">
        <f t="shared" si="15"/>
        <v>3</v>
      </c>
      <c r="Q8" s="508">
        <f t="shared" si="15"/>
        <v>3</v>
      </c>
      <c r="R8" s="508">
        <f t="shared" si="15"/>
        <v>3</v>
      </c>
      <c r="S8" s="508">
        <f t="shared" ref="S8" si="16">IFERROR(VLOOKUP(S7,StatusTable,2,FALSE), -1)</f>
        <v>3</v>
      </c>
      <c r="T8" s="508">
        <f t="shared" ref="T8" si="17">IFERROR(VLOOKUP(T7,StatusTable,2,FALSE), -1)</f>
        <v>3</v>
      </c>
      <c r="U8" s="508">
        <f t="shared" ref="U8:X8" si="18">IFERROR(VLOOKUP(U7,StatusTable,2,FALSE), -1)</f>
        <v>3</v>
      </c>
      <c r="V8" s="508">
        <f t="shared" si="18"/>
        <v>3</v>
      </c>
      <c r="W8" s="508">
        <f t="shared" si="18"/>
        <v>3</v>
      </c>
      <c r="X8" s="508">
        <f t="shared" si="18"/>
        <v>3</v>
      </c>
      <c r="Y8" s="508">
        <f t="shared" ref="Y8:Z8" si="19">IFERROR(VLOOKUP(Y7,StatusTable,2,FALSE), -1)</f>
        <v>3</v>
      </c>
      <c r="Z8" s="508">
        <f t="shared" si="19"/>
        <v>3</v>
      </c>
      <c r="AA8" s="445"/>
      <c r="BB8" s="226" t="str">
        <f>CountryCode &amp; ".T4.STATUS.S13.MNAC." &amp; RefVintage</f>
        <v>HU.T4.STATUS.S13.MNAC.W.2020</v>
      </c>
    </row>
    <row r="9" spans="1:54" ht="16.5" thickBot="1">
      <c r="A9" s="245"/>
      <c r="B9" s="444"/>
      <c r="C9" s="382" t="s">
        <v>38</v>
      </c>
      <c r="D9" s="451"/>
      <c r="E9" s="452"/>
      <c r="F9" s="452"/>
      <c r="G9" s="452"/>
      <c r="H9" s="452"/>
      <c r="I9" s="452"/>
      <c r="J9" s="452"/>
      <c r="K9" s="452"/>
      <c r="L9" s="452"/>
      <c r="M9" s="452"/>
      <c r="N9" s="452"/>
      <c r="O9" s="452"/>
      <c r="P9" s="452"/>
      <c r="Q9" s="452"/>
      <c r="R9" s="452"/>
      <c r="S9" s="452"/>
      <c r="T9" s="452"/>
      <c r="U9" s="452"/>
      <c r="V9" s="452"/>
      <c r="W9" s="452"/>
      <c r="X9" s="452"/>
      <c r="Y9" s="452"/>
      <c r="Z9" s="452"/>
      <c r="AA9" s="445"/>
    </row>
    <row r="10" spans="1:54" ht="16.5" thickBot="1">
      <c r="A10" s="453" t="s">
        <v>512</v>
      </c>
      <c r="B10" s="424" t="s">
        <v>979</v>
      </c>
      <c r="C10" s="383">
        <v>2</v>
      </c>
      <c r="D10" s="454" t="s">
        <v>482</v>
      </c>
      <c r="E10" s="455"/>
      <c r="F10" s="83">
        <v>29388</v>
      </c>
      <c r="G10" s="83">
        <v>21210</v>
      </c>
      <c r="H10" s="83">
        <v>35718</v>
      </c>
      <c r="I10" s="83">
        <v>53515</v>
      </c>
      <c r="J10" s="83">
        <v>62908</v>
      </c>
      <c r="K10" s="83">
        <v>71781</v>
      </c>
      <c r="L10" s="83">
        <v>128223.99999999999</v>
      </c>
      <c r="M10" s="83">
        <v>137113</v>
      </c>
      <c r="N10" s="83">
        <v>185318</v>
      </c>
      <c r="O10" s="83">
        <v>211885</v>
      </c>
      <c r="P10" s="83">
        <v>234844</v>
      </c>
      <c r="Q10" s="83">
        <v>299145</v>
      </c>
      <c r="R10" s="83">
        <v>287647</v>
      </c>
      <c r="S10" s="83">
        <v>267915</v>
      </c>
      <c r="T10" s="83">
        <v>409441</v>
      </c>
      <c r="U10" s="83">
        <v>379982</v>
      </c>
      <c r="V10" s="83">
        <v>405911</v>
      </c>
      <c r="W10" s="83">
        <v>454702</v>
      </c>
      <c r="X10" s="83">
        <v>482622</v>
      </c>
      <c r="Y10" s="83">
        <v>541509</v>
      </c>
      <c r="Z10" s="83">
        <v>364508</v>
      </c>
      <c r="AA10" s="445"/>
      <c r="BB10" s="226" t="str">
        <f>CountryCode &amp; ".T4.AF81L.S13.MNAC." &amp; RefVintage</f>
        <v>HU.T4.AF81L.S13.MNAC.W.2020</v>
      </c>
    </row>
    <row r="11" spans="1:54" ht="16.5" thickBot="1">
      <c r="A11" s="456"/>
      <c r="B11" s="457"/>
      <c r="C11" s="383"/>
      <c r="D11" s="226"/>
      <c r="F11" s="432"/>
      <c r="G11" s="432"/>
      <c r="H11" s="432"/>
      <c r="I11" s="432"/>
      <c r="J11" s="432"/>
      <c r="K11" s="432"/>
      <c r="L11" s="432"/>
      <c r="M11" s="432"/>
      <c r="N11" s="432"/>
      <c r="O11" s="432"/>
      <c r="P11" s="432"/>
      <c r="Q11" s="432"/>
      <c r="R11" s="432"/>
      <c r="S11" s="432"/>
      <c r="T11" s="432"/>
      <c r="U11" s="432"/>
      <c r="V11" s="432"/>
      <c r="W11" s="432"/>
      <c r="X11" s="432"/>
      <c r="Y11" s="432"/>
      <c r="Z11" s="432"/>
      <c r="AA11" s="445"/>
    </row>
    <row r="12" spans="1:54">
      <c r="A12" s="456"/>
      <c r="B12" s="457"/>
      <c r="C12" s="383"/>
      <c r="D12" s="451"/>
      <c r="E12" s="452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  <c r="S12" s="433"/>
      <c r="T12" s="433"/>
      <c r="U12" s="433"/>
      <c r="V12" s="433"/>
      <c r="W12" s="433"/>
      <c r="X12" s="433"/>
      <c r="Y12" s="433"/>
      <c r="Z12" s="433"/>
      <c r="AA12" s="445"/>
    </row>
    <row r="13" spans="1:54">
      <c r="A13" s="245"/>
      <c r="B13" s="424"/>
      <c r="C13" s="383">
        <v>3</v>
      </c>
      <c r="D13" s="454" t="s">
        <v>39</v>
      </c>
      <c r="E13" s="455"/>
      <c r="F13" s="432"/>
      <c r="G13" s="432"/>
      <c r="H13" s="432"/>
      <c r="I13" s="432"/>
      <c r="J13" s="432"/>
      <c r="K13" s="432"/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32"/>
      <c r="W13" s="432"/>
      <c r="X13" s="432"/>
      <c r="Y13" s="432"/>
      <c r="Z13" s="432"/>
      <c r="AA13" s="445"/>
    </row>
    <row r="14" spans="1:54">
      <c r="A14" s="245"/>
      <c r="B14" s="424"/>
      <c r="C14" s="181"/>
      <c r="F14" s="432"/>
      <c r="G14" s="432"/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432"/>
      <c r="S14" s="432"/>
      <c r="T14" s="432"/>
      <c r="U14" s="432"/>
      <c r="V14" s="432"/>
      <c r="W14" s="432"/>
      <c r="X14" s="432"/>
      <c r="Y14" s="432"/>
      <c r="Z14" s="432"/>
      <c r="AA14" s="445"/>
    </row>
    <row r="15" spans="1:54">
      <c r="A15" s="245"/>
      <c r="B15" s="424"/>
      <c r="C15" s="181"/>
      <c r="F15" s="432"/>
      <c r="G15" s="432"/>
      <c r="H15" s="432"/>
      <c r="I15" s="432"/>
      <c r="J15" s="432"/>
      <c r="K15" s="432"/>
      <c r="L15" s="432"/>
      <c r="M15" s="432"/>
      <c r="N15" s="432"/>
      <c r="O15" s="432"/>
      <c r="P15" s="432"/>
      <c r="Q15" s="432"/>
      <c r="R15" s="432"/>
      <c r="S15" s="432"/>
      <c r="T15" s="432"/>
      <c r="U15" s="432"/>
      <c r="V15" s="432"/>
      <c r="W15" s="432"/>
      <c r="X15" s="432"/>
      <c r="Y15" s="432"/>
      <c r="Z15" s="432"/>
      <c r="AA15" s="445"/>
    </row>
    <row r="16" spans="1:54">
      <c r="A16" s="456" t="s">
        <v>440</v>
      </c>
      <c r="B16" s="424" t="s">
        <v>980</v>
      </c>
      <c r="C16" s="181"/>
      <c r="D16" s="59" t="s">
        <v>40</v>
      </c>
      <c r="E16" s="59"/>
      <c r="F16" s="83" t="s">
        <v>1147</v>
      </c>
      <c r="G16" s="83" t="s">
        <v>1147</v>
      </c>
      <c r="H16" s="83" t="s">
        <v>1147</v>
      </c>
      <c r="I16" s="83" t="s">
        <v>1147</v>
      </c>
      <c r="J16" s="83" t="s">
        <v>1147</v>
      </c>
      <c r="K16" s="83" t="s">
        <v>1147</v>
      </c>
      <c r="L16" s="83" t="s">
        <v>1147</v>
      </c>
      <c r="M16" s="83" t="s">
        <v>1147</v>
      </c>
      <c r="N16" s="83" t="s">
        <v>1147</v>
      </c>
      <c r="O16" s="83" t="s">
        <v>1147</v>
      </c>
      <c r="P16" s="83" t="s">
        <v>1147</v>
      </c>
      <c r="Q16" s="83" t="s">
        <v>1147</v>
      </c>
      <c r="R16" s="83" t="s">
        <v>1147</v>
      </c>
      <c r="S16" s="83" t="s">
        <v>1147</v>
      </c>
      <c r="T16" s="83" t="s">
        <v>1147</v>
      </c>
      <c r="U16" s="83" t="s">
        <v>1147</v>
      </c>
      <c r="V16" s="83" t="s">
        <v>1147</v>
      </c>
      <c r="W16" s="83" t="s">
        <v>1147</v>
      </c>
      <c r="X16" s="83" t="s">
        <v>1147</v>
      </c>
      <c r="Y16" s="83" t="s">
        <v>1147</v>
      </c>
      <c r="Z16" s="83" t="s">
        <v>1147</v>
      </c>
      <c r="AA16" s="445"/>
      <c r="BB16" s="226" t="str">
        <f>CountryCode &amp; ".T4.FPU.S13.MNAC." &amp; RefVintage</f>
        <v>HU.T4.FPU.S13.MNAC.W.2020</v>
      </c>
    </row>
    <row r="17" spans="1:27">
      <c r="A17" s="245"/>
      <c r="B17" s="424"/>
      <c r="C17" s="181"/>
      <c r="F17" s="432"/>
      <c r="G17" s="432"/>
      <c r="H17" s="432"/>
      <c r="I17" s="432"/>
      <c r="J17" s="432"/>
      <c r="K17" s="432"/>
      <c r="L17" s="432"/>
      <c r="M17" s="432"/>
      <c r="N17" s="432"/>
      <c r="O17" s="432"/>
      <c r="P17" s="432"/>
      <c r="Q17" s="432"/>
      <c r="R17" s="432"/>
      <c r="S17" s="432"/>
      <c r="T17" s="432"/>
      <c r="U17" s="432"/>
      <c r="V17" s="432"/>
      <c r="W17" s="432"/>
      <c r="X17" s="432"/>
      <c r="Y17" s="432"/>
      <c r="Z17" s="432"/>
      <c r="AA17" s="445"/>
    </row>
    <row r="18" spans="1:27">
      <c r="A18" s="245"/>
      <c r="B18" s="424"/>
      <c r="C18" s="181"/>
      <c r="D18" s="59" t="s">
        <v>41</v>
      </c>
      <c r="E18" s="59"/>
      <c r="F18" s="434"/>
      <c r="G18" s="434"/>
      <c r="H18" s="434"/>
      <c r="I18" s="434"/>
      <c r="J18" s="434"/>
      <c r="K18" s="434"/>
      <c r="L18" s="434"/>
      <c r="M18" s="434"/>
      <c r="N18" s="434"/>
      <c r="O18" s="434"/>
      <c r="P18" s="434"/>
      <c r="Q18" s="434"/>
      <c r="R18" s="434"/>
      <c r="S18" s="434"/>
      <c r="T18" s="434"/>
      <c r="U18" s="434"/>
      <c r="V18" s="434"/>
      <c r="W18" s="434"/>
      <c r="X18" s="434"/>
      <c r="Y18" s="434"/>
      <c r="Z18" s="434"/>
      <c r="AA18" s="445"/>
    </row>
    <row r="19" spans="1:27">
      <c r="A19" s="245"/>
      <c r="B19" s="424"/>
      <c r="C19" s="181"/>
      <c r="D19" s="59"/>
      <c r="E19" s="59"/>
      <c r="F19" s="434"/>
      <c r="G19" s="434"/>
      <c r="H19" s="434"/>
      <c r="I19" s="434"/>
      <c r="J19" s="434"/>
      <c r="K19" s="434"/>
      <c r="L19" s="434"/>
      <c r="M19" s="434"/>
      <c r="N19" s="434"/>
      <c r="O19" s="434"/>
      <c r="P19" s="434"/>
      <c r="Q19" s="434"/>
      <c r="R19" s="434"/>
      <c r="S19" s="434"/>
      <c r="T19" s="434"/>
      <c r="U19" s="434"/>
      <c r="V19" s="434"/>
      <c r="W19" s="434"/>
      <c r="X19" s="434"/>
      <c r="Y19" s="434"/>
      <c r="Z19" s="434"/>
      <c r="AA19" s="445"/>
    </row>
    <row r="20" spans="1:27">
      <c r="A20" s="245"/>
      <c r="B20" s="424"/>
      <c r="C20" s="181"/>
      <c r="D20" s="59"/>
      <c r="E20" s="59"/>
      <c r="F20" s="434"/>
      <c r="G20" s="434"/>
      <c r="H20" s="434"/>
      <c r="I20" s="434"/>
      <c r="J20" s="434"/>
      <c r="K20" s="434"/>
      <c r="L20" s="434"/>
      <c r="M20" s="434"/>
      <c r="N20" s="434"/>
      <c r="O20" s="434"/>
      <c r="P20" s="434"/>
      <c r="Q20" s="434"/>
      <c r="R20" s="434"/>
      <c r="S20" s="434"/>
      <c r="T20" s="434"/>
      <c r="U20" s="434"/>
      <c r="V20" s="434"/>
      <c r="W20" s="434"/>
      <c r="X20" s="434"/>
      <c r="Y20" s="434"/>
      <c r="Z20" s="434"/>
      <c r="AA20" s="445"/>
    </row>
    <row r="21" spans="1:27">
      <c r="A21" s="245"/>
      <c r="B21" s="424"/>
      <c r="C21" s="181"/>
      <c r="D21" s="59"/>
      <c r="E21" s="59"/>
      <c r="F21" s="434"/>
      <c r="G21" s="434"/>
      <c r="H21" s="434"/>
      <c r="I21" s="434"/>
      <c r="J21" s="434"/>
      <c r="K21" s="434"/>
      <c r="L21" s="434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434"/>
      <c r="Z21" s="434"/>
      <c r="AA21" s="445"/>
    </row>
    <row r="22" spans="1:27">
      <c r="A22" s="245"/>
      <c r="B22" s="424"/>
      <c r="C22" s="181"/>
      <c r="F22" s="434"/>
      <c r="G22" s="434"/>
      <c r="H22" s="434"/>
      <c r="I22" s="434"/>
      <c r="J22" s="434"/>
      <c r="K22" s="434"/>
      <c r="L22" s="434"/>
      <c r="M22" s="434"/>
      <c r="N22" s="434"/>
      <c r="O22" s="434"/>
      <c r="P22" s="434"/>
      <c r="Q22" s="434"/>
      <c r="R22" s="434"/>
      <c r="S22" s="434"/>
      <c r="T22" s="434"/>
      <c r="U22" s="434"/>
      <c r="V22" s="434"/>
      <c r="W22" s="434"/>
      <c r="X22" s="434"/>
      <c r="Y22" s="434"/>
      <c r="Z22" s="434"/>
      <c r="AA22" s="445"/>
    </row>
    <row r="23" spans="1:27">
      <c r="A23" s="245"/>
      <c r="B23" s="424"/>
      <c r="C23" s="181"/>
      <c r="F23" s="434"/>
      <c r="G23" s="434"/>
      <c r="H23" s="434"/>
      <c r="I23" s="434"/>
      <c r="J23" s="434"/>
      <c r="K23" s="434"/>
      <c r="L23" s="434"/>
      <c r="M23" s="434"/>
      <c r="N23" s="434"/>
      <c r="O23" s="434"/>
      <c r="P23" s="434"/>
      <c r="Q23" s="434"/>
      <c r="R23" s="434"/>
      <c r="S23" s="434"/>
      <c r="T23" s="434"/>
      <c r="U23" s="434"/>
      <c r="V23" s="434"/>
      <c r="W23" s="434"/>
      <c r="X23" s="434"/>
      <c r="Y23" s="434"/>
      <c r="Z23" s="434"/>
      <c r="AA23" s="445"/>
    </row>
    <row r="24" spans="1:27">
      <c r="A24" s="245"/>
      <c r="B24" s="424"/>
      <c r="C24" s="181"/>
      <c r="F24" s="434"/>
      <c r="G24" s="434"/>
      <c r="H24" s="434"/>
      <c r="I24" s="434"/>
      <c r="J24" s="434"/>
      <c r="K24" s="434"/>
      <c r="L24" s="434"/>
      <c r="M24" s="434"/>
      <c r="N24" s="434"/>
      <c r="O24" s="434"/>
      <c r="P24" s="434"/>
      <c r="Q24" s="434"/>
      <c r="R24" s="434"/>
      <c r="S24" s="434"/>
      <c r="T24" s="434"/>
      <c r="U24" s="434"/>
      <c r="V24" s="434"/>
      <c r="W24" s="434"/>
      <c r="X24" s="434"/>
      <c r="Y24" s="434"/>
      <c r="Z24" s="434"/>
      <c r="AA24" s="445"/>
    </row>
    <row r="25" spans="1:27" ht="16.5" thickBot="1">
      <c r="A25" s="245"/>
      <c r="B25" s="424"/>
      <c r="C25" s="181"/>
      <c r="F25" s="435"/>
      <c r="G25" s="435"/>
      <c r="H25" s="435"/>
      <c r="I25" s="435"/>
      <c r="J25" s="435"/>
      <c r="K25" s="435"/>
      <c r="L25" s="435"/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45"/>
    </row>
    <row r="26" spans="1:27" ht="9.75" customHeight="1">
      <c r="A26" s="245"/>
      <c r="B26" s="424"/>
      <c r="C26" s="181"/>
      <c r="D26" s="452"/>
      <c r="E26" s="452"/>
      <c r="F26" s="433"/>
      <c r="G26" s="433"/>
      <c r="H26" s="433"/>
      <c r="I26" s="433"/>
      <c r="J26" s="433"/>
      <c r="K26" s="433"/>
      <c r="L26" s="433"/>
      <c r="M26" s="433"/>
      <c r="N26" s="433"/>
      <c r="O26" s="433"/>
      <c r="P26" s="433"/>
      <c r="Q26" s="433"/>
      <c r="R26" s="433"/>
      <c r="S26" s="433"/>
      <c r="T26" s="433"/>
      <c r="U26" s="433"/>
      <c r="V26" s="433"/>
      <c r="W26" s="433"/>
      <c r="X26" s="433"/>
      <c r="Y26" s="433"/>
      <c r="Z26" s="433"/>
      <c r="AA26" s="445"/>
    </row>
    <row r="27" spans="1:27">
      <c r="A27" s="245"/>
      <c r="B27" s="424"/>
      <c r="C27" s="383">
        <v>4</v>
      </c>
      <c r="D27" s="454" t="s">
        <v>461</v>
      </c>
      <c r="E27" s="455"/>
      <c r="F27" s="432"/>
      <c r="G27" s="432"/>
      <c r="H27" s="432"/>
      <c r="I27" s="432"/>
      <c r="J27" s="432"/>
      <c r="K27" s="432"/>
      <c r="L27" s="432"/>
      <c r="M27" s="432"/>
      <c r="N27" s="432"/>
      <c r="O27" s="432"/>
      <c r="P27" s="432"/>
      <c r="Q27" s="432"/>
      <c r="R27" s="432"/>
      <c r="S27" s="432"/>
      <c r="T27" s="432"/>
      <c r="U27" s="432"/>
      <c r="V27" s="432"/>
      <c r="W27" s="432"/>
      <c r="X27" s="432"/>
      <c r="Y27" s="432"/>
      <c r="Z27" s="432"/>
      <c r="AA27" s="445"/>
    </row>
    <row r="28" spans="1:27">
      <c r="A28" s="245"/>
      <c r="B28" s="424"/>
      <c r="C28" s="182"/>
      <c r="D28" s="454" t="s">
        <v>42</v>
      </c>
      <c r="E28" s="455"/>
      <c r="F28" s="432"/>
      <c r="G28" s="432"/>
      <c r="H28" s="432"/>
      <c r="I28" s="432"/>
      <c r="J28" s="432"/>
      <c r="K28" s="432"/>
      <c r="L28" s="432"/>
      <c r="M28" s="432"/>
      <c r="N28" s="432"/>
      <c r="O28" s="432"/>
      <c r="P28" s="432"/>
      <c r="Q28" s="432"/>
      <c r="R28" s="432"/>
      <c r="S28" s="432"/>
      <c r="T28" s="432"/>
      <c r="U28" s="432"/>
      <c r="V28" s="432"/>
      <c r="W28" s="432"/>
      <c r="X28" s="432"/>
      <c r="Y28" s="432"/>
      <c r="Z28" s="432"/>
      <c r="AA28" s="445"/>
    </row>
    <row r="29" spans="1:27">
      <c r="A29" s="245"/>
      <c r="B29" s="424"/>
      <c r="C29" s="182"/>
      <c r="D29" s="13" t="s">
        <v>43</v>
      </c>
      <c r="F29" s="434"/>
      <c r="G29" s="434"/>
      <c r="H29" s="434"/>
      <c r="I29" s="434"/>
      <c r="J29" s="434"/>
      <c r="K29" s="434"/>
      <c r="L29" s="434"/>
      <c r="M29" s="434"/>
      <c r="N29" s="434"/>
      <c r="O29" s="434"/>
      <c r="P29" s="434"/>
      <c r="Q29" s="434"/>
      <c r="R29" s="434"/>
      <c r="S29" s="434"/>
      <c r="T29" s="434"/>
      <c r="U29" s="434"/>
      <c r="V29" s="434"/>
      <c r="W29" s="434"/>
      <c r="X29" s="434"/>
      <c r="Y29" s="434"/>
      <c r="Z29" s="434"/>
      <c r="AA29" s="445"/>
    </row>
    <row r="30" spans="1:27">
      <c r="A30" s="245"/>
      <c r="B30" s="424"/>
      <c r="C30" s="182"/>
      <c r="F30" s="434"/>
      <c r="G30" s="434"/>
      <c r="H30" s="434"/>
      <c r="I30" s="434"/>
      <c r="J30" s="434"/>
      <c r="K30" s="434"/>
      <c r="L30" s="434"/>
      <c r="M30" s="434"/>
      <c r="N30" s="434"/>
      <c r="O30" s="434"/>
      <c r="P30" s="434"/>
      <c r="Q30" s="434"/>
      <c r="R30" s="434"/>
      <c r="S30" s="434"/>
      <c r="T30" s="434"/>
      <c r="U30" s="434"/>
      <c r="V30" s="434"/>
      <c r="W30" s="434"/>
      <c r="X30" s="434"/>
      <c r="Y30" s="434"/>
      <c r="Z30" s="434"/>
      <c r="AA30" s="445"/>
    </row>
    <row r="31" spans="1:27">
      <c r="A31" s="245"/>
      <c r="B31" s="424"/>
      <c r="C31" s="182"/>
      <c r="F31" s="434"/>
      <c r="G31" s="434"/>
      <c r="H31" s="434"/>
      <c r="I31" s="434"/>
      <c r="J31" s="434"/>
      <c r="K31" s="434"/>
      <c r="L31" s="434"/>
      <c r="M31" s="434"/>
      <c r="N31" s="434"/>
      <c r="O31" s="434"/>
      <c r="P31" s="434"/>
      <c r="Q31" s="434"/>
      <c r="R31" s="434"/>
      <c r="S31" s="434"/>
      <c r="T31" s="434"/>
      <c r="U31" s="434"/>
      <c r="V31" s="434"/>
      <c r="W31" s="434"/>
      <c r="X31" s="434"/>
      <c r="Y31" s="434"/>
      <c r="Z31" s="434"/>
      <c r="AA31" s="445"/>
    </row>
    <row r="32" spans="1:27">
      <c r="A32" s="245"/>
      <c r="B32" s="424"/>
      <c r="C32" s="182"/>
      <c r="F32" s="434"/>
      <c r="G32" s="434"/>
      <c r="H32" s="434"/>
      <c r="I32" s="434"/>
      <c r="J32" s="434"/>
      <c r="K32" s="434"/>
      <c r="L32" s="434"/>
      <c r="M32" s="434"/>
      <c r="N32" s="434"/>
      <c r="O32" s="434"/>
      <c r="P32" s="434"/>
      <c r="Q32" s="434"/>
      <c r="R32" s="434"/>
      <c r="S32" s="434"/>
      <c r="T32" s="434"/>
      <c r="U32" s="434"/>
      <c r="V32" s="434"/>
      <c r="W32" s="434"/>
      <c r="X32" s="434"/>
      <c r="Y32" s="434"/>
      <c r="Z32" s="434"/>
      <c r="AA32" s="445"/>
    </row>
    <row r="33" spans="1:54">
      <c r="A33" s="245"/>
      <c r="B33" s="424"/>
      <c r="C33" s="182"/>
      <c r="D33" s="13" t="s">
        <v>44</v>
      </c>
      <c r="F33" s="434"/>
      <c r="G33" s="434"/>
      <c r="H33" s="434"/>
      <c r="I33" s="434"/>
      <c r="J33" s="434"/>
      <c r="K33" s="434"/>
      <c r="L33" s="434"/>
      <c r="M33" s="434"/>
      <c r="N33" s="434"/>
      <c r="O33" s="434"/>
      <c r="P33" s="434"/>
      <c r="Q33" s="434"/>
      <c r="R33" s="434"/>
      <c r="S33" s="434"/>
      <c r="T33" s="434"/>
      <c r="U33" s="434"/>
      <c r="V33" s="434"/>
      <c r="W33" s="434"/>
      <c r="X33" s="434"/>
      <c r="Y33" s="434"/>
      <c r="Z33" s="434"/>
      <c r="AA33" s="445"/>
    </row>
    <row r="34" spans="1:54">
      <c r="A34" s="245"/>
      <c r="B34" s="424"/>
      <c r="C34" s="182"/>
      <c r="F34" s="434"/>
      <c r="G34" s="434"/>
      <c r="H34" s="434"/>
      <c r="I34" s="434"/>
      <c r="J34" s="434"/>
      <c r="K34" s="434"/>
      <c r="L34" s="434"/>
      <c r="M34" s="434"/>
      <c r="N34" s="434"/>
      <c r="O34" s="434"/>
      <c r="P34" s="434"/>
      <c r="Q34" s="434"/>
      <c r="R34" s="434"/>
      <c r="S34" s="434"/>
      <c r="T34" s="434"/>
      <c r="U34" s="434"/>
      <c r="V34" s="434"/>
      <c r="W34" s="434"/>
      <c r="X34" s="434"/>
      <c r="Y34" s="434"/>
      <c r="Z34" s="434"/>
      <c r="AA34" s="445"/>
    </row>
    <row r="35" spans="1:54">
      <c r="A35" s="245"/>
      <c r="B35" s="424"/>
      <c r="C35" s="182"/>
      <c r="D35" s="455"/>
      <c r="E35" s="455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T35" s="434"/>
      <c r="U35" s="434"/>
      <c r="V35" s="434"/>
      <c r="W35" s="434"/>
      <c r="X35" s="434"/>
      <c r="Y35" s="434"/>
      <c r="Z35" s="434"/>
      <c r="AA35" s="445"/>
    </row>
    <row r="36" spans="1:54" ht="16.5" thickBot="1">
      <c r="A36" s="245"/>
      <c r="B36" s="424"/>
      <c r="C36" s="182"/>
      <c r="D36" s="458"/>
      <c r="E36" s="458"/>
      <c r="F36" s="436"/>
      <c r="G36" s="436"/>
      <c r="H36" s="436"/>
      <c r="I36" s="436"/>
      <c r="J36" s="436"/>
      <c r="K36" s="436"/>
      <c r="L36" s="436"/>
      <c r="M36" s="436"/>
      <c r="N36" s="436"/>
      <c r="O36" s="436"/>
      <c r="P36" s="436"/>
      <c r="Q36" s="436"/>
      <c r="R36" s="436"/>
      <c r="S36" s="436"/>
      <c r="T36" s="436"/>
      <c r="U36" s="436"/>
      <c r="V36" s="436"/>
      <c r="W36" s="436"/>
      <c r="X36" s="436"/>
      <c r="Y36" s="436"/>
      <c r="Z36" s="436"/>
      <c r="AA36" s="445"/>
    </row>
    <row r="37" spans="1:54">
      <c r="A37" s="245"/>
      <c r="B37" s="424"/>
      <c r="C37" s="182"/>
      <c r="F37" s="432"/>
      <c r="G37" s="432"/>
      <c r="H37" s="432"/>
      <c r="I37" s="432"/>
      <c r="J37" s="432"/>
      <c r="K37" s="432"/>
      <c r="L37" s="432"/>
      <c r="M37" s="432"/>
      <c r="N37" s="432"/>
      <c r="O37" s="432"/>
      <c r="P37" s="432"/>
      <c r="Q37" s="432"/>
      <c r="R37" s="432"/>
      <c r="S37" s="432"/>
      <c r="T37" s="432"/>
      <c r="U37" s="432"/>
      <c r="V37" s="432"/>
      <c r="W37" s="432"/>
      <c r="X37" s="432"/>
      <c r="Y37" s="432"/>
      <c r="Z37" s="432"/>
      <c r="AA37" s="445"/>
    </row>
    <row r="38" spans="1:54">
      <c r="A38" s="456" t="s">
        <v>441</v>
      </c>
      <c r="B38" s="424" t="s">
        <v>981</v>
      </c>
      <c r="C38" s="383">
        <v>10</v>
      </c>
      <c r="D38" s="454" t="s">
        <v>45</v>
      </c>
      <c r="F38" s="83">
        <v>5591530</v>
      </c>
      <c r="G38" s="83">
        <v>6800473</v>
      </c>
      <c r="H38" s="83">
        <v>8304550</v>
      </c>
      <c r="I38" s="83">
        <v>9786667</v>
      </c>
      <c r="J38" s="83">
        <v>10882873</v>
      </c>
      <c r="K38" s="83">
        <v>12550147</v>
      </c>
      <c r="L38" s="83">
        <v>14504986</v>
      </c>
      <c r="M38" s="83">
        <v>16442587</v>
      </c>
      <c r="N38" s="83">
        <v>18117345</v>
      </c>
      <c r="O38" s="83">
        <v>19791592</v>
      </c>
      <c r="P38" s="83">
        <v>21134647</v>
      </c>
      <c r="Q38" s="83">
        <v>22857625</v>
      </c>
      <c r="R38" s="83">
        <v>23834629</v>
      </c>
      <c r="S38" s="83">
        <v>25424535</v>
      </c>
      <c r="T38" s="83">
        <v>25303875</v>
      </c>
      <c r="U38" s="83">
        <v>26031889</v>
      </c>
      <c r="V38" s="83">
        <v>27005848</v>
      </c>
      <c r="W38" s="83">
        <v>27635670</v>
      </c>
      <c r="X38" s="83">
        <v>29432905</v>
      </c>
      <c r="Y38" s="83">
        <v>31280222</v>
      </c>
      <c r="Z38" s="83">
        <v>33207639</v>
      </c>
      <c r="AA38" s="445"/>
      <c r="BB38" s="226" t="str">
        <f>CountryCode &amp; ".T4.GNI.S1.MNAC." &amp; RefVintage</f>
        <v>HU.T4.GNI.S1.MNAC.W.2020</v>
      </c>
    </row>
    <row r="39" spans="1:54">
      <c r="A39" s="245"/>
      <c r="B39" s="444"/>
      <c r="C39" s="459" t="s">
        <v>35</v>
      </c>
      <c r="AA39" s="445"/>
    </row>
    <row r="40" spans="1:54">
      <c r="A40" s="245"/>
      <c r="B40" s="444"/>
      <c r="C40" s="459"/>
      <c r="D40" s="460" t="s">
        <v>29</v>
      </c>
      <c r="AA40" s="445"/>
    </row>
    <row r="41" spans="1:54" ht="25.5">
      <c r="A41" s="245"/>
      <c r="B41" s="444"/>
      <c r="C41" s="182"/>
      <c r="D41" s="460" t="s">
        <v>67</v>
      </c>
      <c r="F41" s="461"/>
      <c r="AA41" s="445"/>
    </row>
    <row r="42" spans="1:54" ht="16.5" thickBot="1">
      <c r="A42" s="462"/>
      <c r="B42" s="463"/>
      <c r="C42" s="183"/>
      <c r="D42" s="464"/>
      <c r="E42" s="464"/>
      <c r="F42" s="464"/>
      <c r="G42" s="464"/>
      <c r="H42" s="464"/>
      <c r="I42" s="464"/>
      <c r="J42" s="464"/>
      <c r="K42" s="464"/>
      <c r="L42" s="464"/>
      <c r="M42" s="464"/>
      <c r="N42" s="464"/>
      <c r="O42" s="464"/>
      <c r="P42" s="464"/>
      <c r="Q42" s="464"/>
      <c r="R42" s="464"/>
      <c r="S42" s="464"/>
      <c r="T42" s="464"/>
      <c r="U42" s="464"/>
      <c r="V42" s="464"/>
      <c r="W42" s="464"/>
      <c r="X42" s="464"/>
      <c r="Y42" s="464"/>
      <c r="Z42" s="464"/>
      <c r="AA42" s="465"/>
    </row>
    <row r="43" spans="1:54" ht="16.5" thickTop="1"/>
    <row r="44" spans="1:54" ht="30" customHeight="1">
      <c r="C44" s="466" t="s">
        <v>120</v>
      </c>
      <c r="D44" s="467"/>
      <c r="E44" s="467"/>
      <c r="F44" s="548" t="str">
        <f>IF(COUNTA(F10:Y10,F16:Y16,F38:Y38)/60*100=100,"OK - Table 4 is fully completed","WARNING - Table 4 is not fully completed, please fill in figure, L, M or 0")</f>
        <v>OK - Table 4 is fully completed</v>
      </c>
      <c r="G44" s="548"/>
      <c r="H44" s="548"/>
      <c r="I44" s="548"/>
      <c r="J44" s="548"/>
      <c r="K44" s="548"/>
      <c r="L44" s="548"/>
      <c r="M44" s="548"/>
      <c r="N44" s="548"/>
      <c r="O44" s="548"/>
      <c r="P44" s="548"/>
      <c r="Q44" s="548"/>
      <c r="R44" s="548"/>
      <c r="S44" s="548"/>
      <c r="T44" s="548"/>
      <c r="U44" s="548"/>
      <c r="V44" s="548"/>
      <c r="W44" s="548"/>
      <c r="X44" s="548"/>
      <c r="Y44" s="548"/>
      <c r="Z44" s="548"/>
    </row>
  </sheetData>
  <sheetProtection algorithmName="SHA-512" hashValue="P4WnjUuqpQzm005PIth2K6iBbk8bygDh1Qb1EGZPUaafmrsyzqmaBFZAfz4dL/rDJBUoX4NMTmVZ6KFtGQdPYg==" saltValue="nXSD7Uwx+x8HQlLpgQ0Vjg==" spinCount="100000" sheet="1" objects="1" formatColumns="0" formatRows="0" insertRows="0" insertHyperlinks="0" deleteRows="0"/>
  <mergeCells count="2">
    <mergeCell ref="F5:Z5"/>
    <mergeCell ref="F44:Z44"/>
  </mergeCells>
  <phoneticPr fontId="35" type="noConversion"/>
  <conditionalFormatting sqref="F10:Z10 F16:Z16 F38:Z38">
    <cfRule type="cellIs" dxfId="1" priority="3" operator="equal">
      <formula>""</formula>
    </cfRule>
  </conditionalFormatting>
  <conditionalFormatting sqref="F44">
    <cfRule type="expression" dxfId="0" priority="188" stopIfTrue="1">
      <formula>COUNTA(F10:X10,F16:X16,F38:X38)/57*100&lt;&gt;100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Z7">
      <formula1>$AC$1:$AC$3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C12" sqref="C12"/>
    </sheetView>
  </sheetViews>
  <sheetFormatPr defaultRowHeight="15"/>
  <cols>
    <col min="1" max="1" width="11.5546875" style="495" customWidth="1"/>
    <col min="2" max="16384" width="8.88671875" style="495"/>
  </cols>
  <sheetData>
    <row r="1" spans="1:3">
      <c r="A1" s="495" t="s">
        <v>983</v>
      </c>
      <c r="B1" s="496" t="s">
        <v>999</v>
      </c>
      <c r="C1" s="495" t="s">
        <v>984</v>
      </c>
    </row>
    <row r="2" spans="1:3">
      <c r="A2" s="495" t="s">
        <v>985</v>
      </c>
      <c r="B2" s="496" t="str">
        <f>VLOOKUP('Cover page'!$E$13,CountryArray,2,FALSE)</f>
        <v>HU</v>
      </c>
      <c r="C2" s="495" t="s">
        <v>986</v>
      </c>
    </row>
    <row r="3" spans="1:3">
      <c r="A3" s="495" t="s">
        <v>987</v>
      </c>
      <c r="B3" s="496" t="str">
        <f>IF(
         COUNTIF('Cover page'!$P$2:$R$7,"not fully completed*") &gt; 0,
         "no", "yes")</f>
        <v>yes</v>
      </c>
      <c r="C3" s="495" t="s">
        <v>988</v>
      </c>
    </row>
    <row r="4" spans="1:3">
      <c r="A4" s="495" t="s">
        <v>989</v>
      </c>
      <c r="B4" s="496" t="s">
        <v>1015</v>
      </c>
      <c r="C4" s="495" t="s">
        <v>990</v>
      </c>
    </row>
    <row r="5" spans="1:3">
      <c r="A5" s="495" t="s">
        <v>991</v>
      </c>
      <c r="B5" s="496" t="s">
        <v>992</v>
      </c>
      <c r="C5" s="495" t="s">
        <v>993</v>
      </c>
    </row>
    <row r="8" spans="1:3">
      <c r="A8" s="495" t="s">
        <v>994</v>
      </c>
      <c r="B8" s="495" t="s">
        <v>995</v>
      </c>
    </row>
    <row r="11" spans="1:3">
      <c r="A11" s="495" t="s">
        <v>996</v>
      </c>
    </row>
    <row r="12" spans="1:3">
      <c r="A12" s="497" t="s">
        <v>4</v>
      </c>
      <c r="B12" s="498">
        <v>0</v>
      </c>
    </row>
    <row r="13" spans="1:3">
      <c r="A13" s="499" t="s">
        <v>451</v>
      </c>
      <c r="B13" s="500">
        <v>1</v>
      </c>
    </row>
    <row r="14" spans="1:3">
      <c r="A14" s="499" t="s">
        <v>452</v>
      </c>
      <c r="B14" s="500">
        <v>2</v>
      </c>
    </row>
    <row r="15" spans="1:3">
      <c r="A15" s="499" t="s">
        <v>453</v>
      </c>
      <c r="B15" s="500">
        <v>3</v>
      </c>
    </row>
    <row r="16" spans="1:3">
      <c r="A16" s="499" t="s">
        <v>997</v>
      </c>
      <c r="B16" s="500">
        <v>4</v>
      </c>
    </row>
    <row r="17" spans="1:2">
      <c r="A17" s="499" t="s">
        <v>998</v>
      </c>
      <c r="B17" s="500">
        <v>5</v>
      </c>
    </row>
    <row r="18" spans="1:2">
      <c r="A18" s="499" t="s">
        <v>454</v>
      </c>
      <c r="B18" s="500">
        <v>10</v>
      </c>
    </row>
    <row r="19" spans="1:2">
      <c r="A19" s="499" t="s">
        <v>455</v>
      </c>
      <c r="B19" s="500">
        <v>11</v>
      </c>
    </row>
    <row r="20" spans="1:2">
      <c r="A20" s="499" t="s">
        <v>456</v>
      </c>
      <c r="B20" s="500">
        <v>12</v>
      </c>
    </row>
    <row r="21" spans="1:2">
      <c r="A21" s="501" t="s">
        <v>457</v>
      </c>
      <c r="B21" s="502">
        <v>13</v>
      </c>
    </row>
  </sheetData>
  <sheetProtection algorithmName="SHA-512" hashValue="n8TazSallvLos/V9V2RoizU2njTMzAjha9avv6Men1SK+0Do1qeFekaAkIK/8vh+UYQsPkej60LjOUj2jJ+qeA==" saltValue="KSec6Pq8IhuMlkbqKRrgOA==" spinCount="100000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BB443"/>
  <sheetViews>
    <sheetView showGridLines="0" defaultGridColor="0" topLeftCell="B1" colorId="22" zoomScaleNormal="100" zoomScaleSheetLayoutView="80" workbookViewId="0"/>
  </sheetViews>
  <sheetFormatPr defaultColWidth="9.77734375" defaultRowHeight="15"/>
  <cols>
    <col min="1" max="1" width="33.6640625" style="20" hidden="1" customWidth="1"/>
    <col min="2" max="2" width="37.88671875" style="25" customWidth="1"/>
    <col min="3" max="3" width="54.77734375" style="21" customWidth="1"/>
    <col min="4" max="4" width="10.5546875" style="10" customWidth="1"/>
    <col min="5" max="25" width="11.109375" style="10" customWidth="1"/>
    <col min="26" max="26" width="9.77734375" style="10"/>
    <col min="27" max="27" width="8.21875" style="10" bestFit="1" customWidth="1"/>
    <col min="28" max="29" width="9.77734375" style="10"/>
    <col min="30" max="30" width="13.109375" style="10" customWidth="1"/>
    <col min="31" max="31" width="9.33203125" style="10" customWidth="1"/>
    <col min="32" max="53" width="9.77734375" style="10"/>
    <col min="54" max="54" width="9.77734375" style="283"/>
    <col min="55" max="16384" width="9.77734375" style="10"/>
  </cols>
  <sheetData>
    <row r="1" spans="1:54" ht="18" customHeight="1">
      <c r="A1" s="220"/>
      <c r="B1" s="221"/>
      <c r="C1" s="222" t="s">
        <v>575</v>
      </c>
      <c r="D1" s="223"/>
      <c r="Z1" s="14"/>
      <c r="AA1" s="219" t="s">
        <v>1014</v>
      </c>
      <c r="AB1" s="219" t="s">
        <v>451</v>
      </c>
      <c r="AC1" s="219">
        <v>4</v>
      </c>
      <c r="AD1" s="219">
        <v>5</v>
      </c>
      <c r="AE1" s="219">
        <v>6</v>
      </c>
      <c r="AF1" s="219">
        <v>7</v>
      </c>
      <c r="AG1" s="219">
        <f>AF1+1</f>
        <v>8</v>
      </c>
      <c r="AH1" s="219">
        <f t="shared" ref="AH1:AR1" si="0">AG1+1</f>
        <v>9</v>
      </c>
      <c r="AI1" s="219">
        <f t="shared" si="0"/>
        <v>10</v>
      </c>
      <c r="AJ1" s="219">
        <f t="shared" si="0"/>
        <v>11</v>
      </c>
      <c r="AK1" s="219">
        <f t="shared" si="0"/>
        <v>12</v>
      </c>
      <c r="AL1" s="219">
        <f t="shared" si="0"/>
        <v>13</v>
      </c>
      <c r="AM1" s="219">
        <f t="shared" si="0"/>
        <v>14</v>
      </c>
      <c r="AN1" s="219">
        <f t="shared" si="0"/>
        <v>15</v>
      </c>
      <c r="AO1" s="219">
        <f t="shared" si="0"/>
        <v>16</v>
      </c>
      <c r="AP1" s="219">
        <f t="shared" si="0"/>
        <v>17</v>
      </c>
      <c r="AQ1" s="219">
        <f t="shared" si="0"/>
        <v>18</v>
      </c>
      <c r="AR1" s="219">
        <f t="shared" si="0"/>
        <v>19</v>
      </c>
    </row>
    <row r="2" spans="1:54" ht="11.25" customHeight="1" thickBot="1">
      <c r="A2" s="220"/>
      <c r="B2" s="224"/>
      <c r="C2" s="225"/>
      <c r="D2" s="226"/>
      <c r="AA2" s="219">
        <f>IF($AA$1='Cover page'!$N$2,0,1)</f>
        <v>0</v>
      </c>
      <c r="AB2" s="219" t="s">
        <v>452</v>
      </c>
    </row>
    <row r="3" spans="1:54" ht="11.25" customHeight="1" thickTop="1">
      <c r="A3" s="227"/>
      <c r="B3" s="228"/>
      <c r="C3" s="229"/>
      <c r="D3" s="230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15"/>
      <c r="AA3" s="283"/>
      <c r="AB3" s="219" t="s">
        <v>453</v>
      </c>
    </row>
    <row r="4" spans="1:54" ht="15.75">
      <c r="A4" s="231"/>
      <c r="B4" s="232"/>
      <c r="C4" s="224" t="str">
        <f>'Cover page'!E13</f>
        <v>Member State: Hungary</v>
      </c>
      <c r="D4" s="233"/>
      <c r="E4" s="538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  <c r="Z4" s="16"/>
    </row>
    <row r="5" spans="1:54" ht="15.75">
      <c r="A5" s="234"/>
      <c r="B5" s="235" t="s">
        <v>485</v>
      </c>
      <c r="C5" s="22" t="s">
        <v>1018</v>
      </c>
      <c r="D5" s="236" t="s">
        <v>466</v>
      </c>
      <c r="E5" s="236">
        <f>1995</f>
        <v>1995</v>
      </c>
      <c r="F5" s="236">
        <f>E5+1</f>
        <v>1996</v>
      </c>
      <c r="G5" s="236">
        <f t="shared" ref="G5:J5" si="1">F5+1</f>
        <v>1997</v>
      </c>
      <c r="H5" s="236">
        <f t="shared" si="1"/>
        <v>1998</v>
      </c>
      <c r="I5" s="236">
        <f t="shared" si="1"/>
        <v>1999</v>
      </c>
      <c r="J5" s="236">
        <f t="shared" si="1"/>
        <v>2000</v>
      </c>
      <c r="K5" s="236">
        <f t="shared" ref="K5" si="2">J5+1</f>
        <v>2001</v>
      </c>
      <c r="L5" s="236">
        <f t="shared" ref="L5" si="3">K5+1</f>
        <v>2002</v>
      </c>
      <c r="M5" s="236">
        <f t="shared" ref="M5" si="4">L5+1</f>
        <v>2003</v>
      </c>
      <c r="N5" s="236">
        <f t="shared" ref="N5" si="5">M5+1</f>
        <v>2004</v>
      </c>
      <c r="O5" s="236">
        <f t="shared" ref="O5" si="6">N5+1</f>
        <v>2005</v>
      </c>
      <c r="P5" s="236">
        <f t="shared" ref="P5" si="7">O5+1</f>
        <v>2006</v>
      </c>
      <c r="Q5" s="236">
        <f t="shared" ref="Q5" si="8">P5+1</f>
        <v>2007</v>
      </c>
      <c r="R5" s="236">
        <f t="shared" ref="R5" si="9">Q5+1</f>
        <v>2008</v>
      </c>
      <c r="S5" s="236">
        <f t="shared" ref="S5" si="10">R5+1</f>
        <v>2009</v>
      </c>
      <c r="T5" s="236">
        <f t="shared" ref="T5" si="11">S5+1</f>
        <v>2010</v>
      </c>
      <c r="U5" s="236">
        <f t="shared" ref="U5" si="12">T5+1</f>
        <v>2011</v>
      </c>
      <c r="V5" s="236">
        <f t="shared" ref="V5" si="13">U5+1</f>
        <v>2012</v>
      </c>
      <c r="W5" s="521">
        <f t="shared" ref="W5:Y5" si="14">V5+1</f>
        <v>2013</v>
      </c>
      <c r="X5" s="521">
        <f t="shared" si="14"/>
        <v>2014</v>
      </c>
      <c r="Y5" s="521">
        <f t="shared" si="14"/>
        <v>2015</v>
      </c>
      <c r="Z5" s="16"/>
    </row>
    <row r="6" spans="1:54" ht="15.75">
      <c r="A6" s="234"/>
      <c r="B6" s="237"/>
      <c r="C6" s="238" t="str">
        <f>'Cover page'!E14</f>
        <v>Date: 09/04/2020</v>
      </c>
      <c r="D6" s="236" t="s">
        <v>3</v>
      </c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16"/>
    </row>
    <row r="7" spans="1:54" ht="16.5" thickBot="1">
      <c r="A7" s="231"/>
      <c r="B7" s="232"/>
      <c r="C7" s="239"/>
      <c r="D7" s="240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16"/>
    </row>
    <row r="8" spans="1:54" ht="15.75">
      <c r="A8" s="234"/>
      <c r="B8" s="241"/>
      <c r="C8" s="242"/>
      <c r="D8" s="243"/>
      <c r="E8" s="140" t="s">
        <v>453</v>
      </c>
      <c r="F8" s="140" t="s">
        <v>453</v>
      </c>
      <c r="G8" s="140" t="s">
        <v>453</v>
      </c>
      <c r="H8" s="140" t="s">
        <v>453</v>
      </c>
      <c r="I8" s="140" t="s">
        <v>453</v>
      </c>
      <c r="J8" s="140" t="s">
        <v>453</v>
      </c>
      <c r="K8" s="140" t="s">
        <v>453</v>
      </c>
      <c r="L8" s="140" t="s">
        <v>453</v>
      </c>
      <c r="M8" s="140" t="s">
        <v>453</v>
      </c>
      <c r="N8" s="140" t="s">
        <v>453</v>
      </c>
      <c r="O8" s="140" t="s">
        <v>453</v>
      </c>
      <c r="P8" s="140" t="s">
        <v>453</v>
      </c>
      <c r="Q8" s="140" t="s">
        <v>453</v>
      </c>
      <c r="R8" s="140" t="s">
        <v>453</v>
      </c>
      <c r="S8" s="140" t="s">
        <v>453</v>
      </c>
      <c r="T8" s="140" t="s">
        <v>453</v>
      </c>
      <c r="U8" s="140" t="s">
        <v>453</v>
      </c>
      <c r="V8" s="140" t="s">
        <v>453</v>
      </c>
      <c r="W8" s="140" t="s">
        <v>453</v>
      </c>
      <c r="X8" s="140" t="s">
        <v>453</v>
      </c>
      <c r="Y8" s="140" t="s">
        <v>453</v>
      </c>
      <c r="Z8" s="16"/>
    </row>
    <row r="9" spans="1:54" ht="16.5" thickBot="1">
      <c r="A9" s="244"/>
      <c r="B9" s="245"/>
      <c r="C9" s="246" t="s">
        <v>563</v>
      </c>
      <c r="D9" s="247" t="s">
        <v>467</v>
      </c>
      <c r="E9" s="504">
        <f t="shared" ref="E9:T9" si="15">IFERROR(VLOOKUP(E8,StatusTable,2,FALSE), -1)</f>
        <v>3</v>
      </c>
      <c r="F9" s="505">
        <f t="shared" si="15"/>
        <v>3</v>
      </c>
      <c r="G9" s="505">
        <f t="shared" si="15"/>
        <v>3</v>
      </c>
      <c r="H9" s="505">
        <f t="shared" si="15"/>
        <v>3</v>
      </c>
      <c r="I9" s="505">
        <f t="shared" si="15"/>
        <v>3</v>
      </c>
      <c r="J9" s="505">
        <f t="shared" si="15"/>
        <v>3</v>
      </c>
      <c r="K9" s="505">
        <f t="shared" si="15"/>
        <v>3</v>
      </c>
      <c r="L9" s="505">
        <f t="shared" si="15"/>
        <v>3</v>
      </c>
      <c r="M9" s="505">
        <f t="shared" si="15"/>
        <v>3</v>
      </c>
      <c r="N9" s="505">
        <f t="shared" si="15"/>
        <v>3</v>
      </c>
      <c r="O9" s="505">
        <f t="shared" si="15"/>
        <v>3</v>
      </c>
      <c r="P9" s="505">
        <f t="shared" si="15"/>
        <v>3</v>
      </c>
      <c r="Q9" s="505">
        <f t="shared" si="15"/>
        <v>3</v>
      </c>
      <c r="R9" s="505">
        <f t="shared" si="15"/>
        <v>3</v>
      </c>
      <c r="S9" s="505">
        <f t="shared" si="15"/>
        <v>3</v>
      </c>
      <c r="T9" s="505">
        <f t="shared" si="15"/>
        <v>3</v>
      </c>
      <c r="U9" s="505">
        <f t="shared" ref="U9:X9" si="16">IFERROR(VLOOKUP(U8,StatusTable,2,FALSE), -1)</f>
        <v>3</v>
      </c>
      <c r="V9" s="505">
        <f t="shared" si="16"/>
        <v>3</v>
      </c>
      <c r="W9" s="505">
        <f t="shared" si="16"/>
        <v>3</v>
      </c>
      <c r="X9" s="505">
        <f t="shared" si="16"/>
        <v>3</v>
      </c>
      <c r="Y9" s="505">
        <f t="shared" ref="Y9" si="17">IFERROR(VLOOKUP(Y8,StatusTable,2,FALSE), -1)</f>
        <v>3</v>
      </c>
      <c r="Z9" s="16"/>
      <c r="BB9" s="283" t="str">
        <f>CountryCode &amp; ".T1.B9_STATUS.S13.MNAC." &amp; RefVintage</f>
        <v>HU.T1.B9_STATUS.S13.MNAC.W.2020</v>
      </c>
    </row>
    <row r="10" spans="1:54" ht="17.25" thickTop="1" thickBot="1">
      <c r="A10" s="248" t="s">
        <v>184</v>
      </c>
      <c r="B10" s="414" t="s">
        <v>671</v>
      </c>
      <c r="C10" s="249" t="s">
        <v>5</v>
      </c>
      <c r="D10" s="430" t="s">
        <v>6</v>
      </c>
      <c r="E10" s="81">
        <v>-501876.34100000001</v>
      </c>
      <c r="F10" s="81">
        <v>-311685</v>
      </c>
      <c r="G10" s="81">
        <v>-490378.83999999997</v>
      </c>
      <c r="H10" s="81">
        <v>-775309.60909090913</v>
      </c>
      <c r="I10" s="81">
        <v>-614070</v>
      </c>
      <c r="J10" s="81">
        <v>-405236.00299999991</v>
      </c>
      <c r="K10" s="81">
        <v>-615856</v>
      </c>
      <c r="L10" s="81">
        <v>-1533781</v>
      </c>
      <c r="M10" s="81">
        <v>-1374123</v>
      </c>
      <c r="N10" s="81">
        <v>-1391280</v>
      </c>
      <c r="O10" s="81">
        <v>-1757625.6153846155</v>
      </c>
      <c r="P10" s="81">
        <v>-2254329</v>
      </c>
      <c r="Q10" s="81">
        <v>-1308462</v>
      </c>
      <c r="R10" s="81">
        <v>-1030748</v>
      </c>
      <c r="S10" s="81">
        <v>-1259676</v>
      </c>
      <c r="T10" s="81">
        <v>-1216741</v>
      </c>
      <c r="U10" s="81">
        <v>-1487238</v>
      </c>
      <c r="V10" s="81">
        <v>-673987.23800000001</v>
      </c>
      <c r="W10" s="81">
        <v>-788385.5</v>
      </c>
      <c r="X10" s="93">
        <v>-910277.89020099957</v>
      </c>
      <c r="Y10" s="522">
        <v>-700702.17656400031</v>
      </c>
      <c r="Z10" s="16"/>
      <c r="BB10" s="283" t="str">
        <f>CountryCode &amp; ".T1.B9.S13.MNAC." &amp; RefVintage</f>
        <v>HU.T1.B9.S13.MNAC.W.2020</v>
      </c>
    </row>
    <row r="11" spans="1:54" ht="16.5" thickTop="1">
      <c r="A11" s="248" t="s">
        <v>185</v>
      </c>
      <c r="B11" s="414" t="s">
        <v>672</v>
      </c>
      <c r="C11" s="250" t="s">
        <v>7</v>
      </c>
      <c r="D11" s="251" t="s">
        <v>8</v>
      </c>
      <c r="E11" s="82">
        <v>-509787.34100000001</v>
      </c>
      <c r="F11" s="82">
        <v>-380253</v>
      </c>
      <c r="G11" s="82">
        <v>-497290.83999999997</v>
      </c>
      <c r="H11" s="82">
        <v>-708854.60909090913</v>
      </c>
      <c r="I11" s="82">
        <v>-595541</v>
      </c>
      <c r="J11" s="82">
        <v>-354854</v>
      </c>
      <c r="K11" s="82">
        <v>-703875</v>
      </c>
      <c r="L11" s="82">
        <v>-1332869</v>
      </c>
      <c r="M11" s="82">
        <v>-1102996</v>
      </c>
      <c r="N11" s="82">
        <v>-1270681</v>
      </c>
      <c r="O11" s="82">
        <v>-1599693</v>
      </c>
      <c r="P11" s="82">
        <v>-2439617</v>
      </c>
      <c r="Q11" s="82">
        <v>-1456874</v>
      </c>
      <c r="R11" s="82">
        <v>-968598</v>
      </c>
      <c r="S11" s="82">
        <v>-1046412</v>
      </c>
      <c r="T11" s="82">
        <v>-1032846</v>
      </c>
      <c r="U11" s="82">
        <v>-1664946</v>
      </c>
      <c r="V11" s="82">
        <v>-809602.23800000001</v>
      </c>
      <c r="W11" s="82">
        <v>-1676570.5</v>
      </c>
      <c r="X11" s="82">
        <v>-1394670.2132009999</v>
      </c>
      <c r="Y11" s="82">
        <v>-761145.64806399983</v>
      </c>
      <c r="Z11" s="16"/>
      <c r="BB11" s="283" t="str">
        <f>CountryCode &amp; ".T1.B9.S1311.MNAC." &amp; RefVintage</f>
        <v>HU.T1.B9.S1311.MNAC.W.2020</v>
      </c>
    </row>
    <row r="12" spans="1:54" ht="15.75">
      <c r="A12" s="248" t="s">
        <v>186</v>
      </c>
      <c r="B12" s="414" t="s">
        <v>673</v>
      </c>
      <c r="C12" s="252" t="s">
        <v>9</v>
      </c>
      <c r="D12" s="253" t="s">
        <v>10</v>
      </c>
      <c r="E12" s="83" t="s">
        <v>1019</v>
      </c>
      <c r="F12" s="83" t="s">
        <v>1019</v>
      </c>
      <c r="G12" s="83" t="s">
        <v>1019</v>
      </c>
      <c r="H12" s="83" t="s">
        <v>1019</v>
      </c>
      <c r="I12" s="83" t="s">
        <v>1019</v>
      </c>
      <c r="J12" s="83" t="s">
        <v>1019</v>
      </c>
      <c r="K12" s="83" t="s">
        <v>1019</v>
      </c>
      <c r="L12" s="83" t="s">
        <v>1019</v>
      </c>
      <c r="M12" s="83" t="s">
        <v>1019</v>
      </c>
      <c r="N12" s="83" t="s">
        <v>1019</v>
      </c>
      <c r="O12" s="83" t="s">
        <v>1019</v>
      </c>
      <c r="P12" s="83" t="s">
        <v>1019</v>
      </c>
      <c r="Q12" s="83" t="s">
        <v>1019</v>
      </c>
      <c r="R12" s="83" t="s">
        <v>1019</v>
      </c>
      <c r="S12" s="83" t="s">
        <v>1019</v>
      </c>
      <c r="T12" s="83" t="s">
        <v>1019</v>
      </c>
      <c r="U12" s="83" t="s">
        <v>1019</v>
      </c>
      <c r="V12" s="83" t="s">
        <v>1019</v>
      </c>
      <c r="W12" s="83" t="s">
        <v>1019</v>
      </c>
      <c r="X12" s="83" t="s">
        <v>1019</v>
      </c>
      <c r="Y12" s="83" t="s">
        <v>1019</v>
      </c>
      <c r="Z12" s="16"/>
      <c r="BB12" s="283" t="str">
        <f>CountryCode &amp; ".T1.B9.S1312.MNAC." &amp; RefVintage</f>
        <v>HU.T1.B9.S1312.MNAC.W.2020</v>
      </c>
    </row>
    <row r="13" spans="1:54" ht="15.75">
      <c r="A13" s="248" t="s">
        <v>187</v>
      </c>
      <c r="B13" s="414" t="s">
        <v>674</v>
      </c>
      <c r="C13" s="252" t="s">
        <v>11</v>
      </c>
      <c r="D13" s="253" t="s">
        <v>12</v>
      </c>
      <c r="E13" s="83">
        <v>7797</v>
      </c>
      <c r="F13" s="83">
        <v>26976</v>
      </c>
      <c r="G13" s="83">
        <v>-1808</v>
      </c>
      <c r="H13" s="83">
        <v>-31033</v>
      </c>
      <c r="I13" s="83">
        <v>252</v>
      </c>
      <c r="J13" s="83">
        <v>-35845</v>
      </c>
      <c r="K13" s="83">
        <v>17530</v>
      </c>
      <c r="L13" s="83">
        <v>-149560</v>
      </c>
      <c r="M13" s="83">
        <v>-29272</v>
      </c>
      <c r="N13" s="83">
        <v>-58927</v>
      </c>
      <c r="O13" s="83">
        <v>-120609.61538461538</v>
      </c>
      <c r="P13" s="83">
        <v>-191665</v>
      </c>
      <c r="Q13" s="83">
        <v>-28761</v>
      </c>
      <c r="R13" s="83">
        <v>18346</v>
      </c>
      <c r="S13" s="83">
        <v>-103345</v>
      </c>
      <c r="T13" s="83">
        <v>-231019</v>
      </c>
      <c r="U13" s="83">
        <v>169981</v>
      </c>
      <c r="V13" s="83">
        <v>139700</v>
      </c>
      <c r="W13" s="83">
        <v>751396</v>
      </c>
      <c r="X13" s="83">
        <v>441853.82300000038</v>
      </c>
      <c r="Y13" s="83">
        <v>57546.035500000056</v>
      </c>
      <c r="Z13" s="16"/>
      <c r="BB13" s="283" t="str">
        <f>CountryCode &amp; ".T1.B9.S1313.MNAC." &amp; RefVintage</f>
        <v>HU.T1.B9.S1313.MNAC.W.2020</v>
      </c>
    </row>
    <row r="14" spans="1:54" ht="15.75">
      <c r="A14" s="248" t="s">
        <v>188</v>
      </c>
      <c r="B14" s="414" t="s">
        <v>675</v>
      </c>
      <c r="C14" s="252" t="s">
        <v>13</v>
      </c>
      <c r="D14" s="253" t="s">
        <v>14</v>
      </c>
      <c r="E14" s="83">
        <v>114</v>
      </c>
      <c r="F14" s="83">
        <v>41592</v>
      </c>
      <c r="G14" s="83">
        <v>8720</v>
      </c>
      <c r="H14" s="83">
        <v>-35422</v>
      </c>
      <c r="I14" s="83">
        <v>-18781</v>
      </c>
      <c r="J14" s="83">
        <v>-14537.002999999924</v>
      </c>
      <c r="K14" s="83">
        <v>70489.000000000029</v>
      </c>
      <c r="L14" s="83">
        <v>-51352</v>
      </c>
      <c r="M14" s="83">
        <v>-241855</v>
      </c>
      <c r="N14" s="83">
        <v>-61672</v>
      </c>
      <c r="O14" s="83">
        <v>-37323</v>
      </c>
      <c r="P14" s="83">
        <v>376953</v>
      </c>
      <c r="Q14" s="83">
        <v>177173</v>
      </c>
      <c r="R14" s="83">
        <v>-80496</v>
      </c>
      <c r="S14" s="83">
        <v>-109919</v>
      </c>
      <c r="T14" s="83">
        <v>47124</v>
      </c>
      <c r="U14" s="83">
        <v>7727</v>
      </c>
      <c r="V14" s="83">
        <v>-4085</v>
      </c>
      <c r="W14" s="83">
        <v>136789</v>
      </c>
      <c r="X14" s="83">
        <v>42538.5</v>
      </c>
      <c r="Y14" s="83">
        <v>2897.4359999995577</v>
      </c>
      <c r="Z14" s="16"/>
      <c r="BB14" s="283" t="str">
        <f>CountryCode &amp; ".T1.B9.S1314.MNAC." &amp; RefVintage</f>
        <v>HU.T1.B9.S1314.MNAC.W.2020</v>
      </c>
    </row>
    <row r="15" spans="1:54" ht="16.5" thickBot="1">
      <c r="A15" s="248"/>
      <c r="B15" s="414"/>
      <c r="C15" s="254"/>
      <c r="D15" s="255"/>
      <c r="E15" s="94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520"/>
      <c r="Y15" s="520"/>
      <c r="Z15" s="16"/>
    </row>
    <row r="16" spans="1:54" ht="15.75">
      <c r="A16" s="248"/>
      <c r="B16" s="414"/>
      <c r="C16" s="256"/>
      <c r="D16" s="257"/>
      <c r="E16" s="140" t="s">
        <v>453</v>
      </c>
      <c r="F16" s="140" t="s">
        <v>453</v>
      </c>
      <c r="G16" s="140" t="s">
        <v>453</v>
      </c>
      <c r="H16" s="140" t="s">
        <v>453</v>
      </c>
      <c r="I16" s="140" t="s">
        <v>453</v>
      </c>
      <c r="J16" s="140" t="s">
        <v>453</v>
      </c>
      <c r="K16" s="140" t="s">
        <v>453</v>
      </c>
      <c r="L16" s="140" t="s">
        <v>453</v>
      </c>
      <c r="M16" s="140" t="s">
        <v>453</v>
      </c>
      <c r="N16" s="140" t="s">
        <v>453</v>
      </c>
      <c r="O16" s="140" t="s">
        <v>453</v>
      </c>
      <c r="P16" s="140" t="s">
        <v>453</v>
      </c>
      <c r="Q16" s="140" t="s">
        <v>453</v>
      </c>
      <c r="R16" s="140" t="s">
        <v>453</v>
      </c>
      <c r="S16" s="140" t="s">
        <v>453</v>
      </c>
      <c r="T16" s="140" t="s">
        <v>453</v>
      </c>
      <c r="U16" s="140" t="s">
        <v>453</v>
      </c>
      <c r="V16" s="140" t="s">
        <v>453</v>
      </c>
      <c r="W16" s="140" t="s">
        <v>453</v>
      </c>
      <c r="X16" s="140" t="s">
        <v>453</v>
      </c>
      <c r="Y16" s="140" t="s">
        <v>453</v>
      </c>
      <c r="Z16" s="16"/>
    </row>
    <row r="17" spans="1:54" ht="16.5" thickBot="1">
      <c r="A17" s="248"/>
      <c r="B17" s="414"/>
      <c r="C17" s="246" t="s">
        <v>15</v>
      </c>
      <c r="D17" s="258"/>
      <c r="E17" s="503">
        <f t="shared" ref="E17:T17" si="18">IFERROR(VLOOKUP(E16,StatusTable,2,FALSE), -1)</f>
        <v>3</v>
      </c>
      <c r="F17" s="503">
        <f t="shared" si="18"/>
        <v>3</v>
      </c>
      <c r="G17" s="503">
        <f t="shared" si="18"/>
        <v>3</v>
      </c>
      <c r="H17" s="503">
        <f t="shared" si="18"/>
        <v>3</v>
      </c>
      <c r="I17" s="503">
        <f t="shared" si="18"/>
        <v>3</v>
      </c>
      <c r="J17" s="503">
        <f t="shared" si="18"/>
        <v>3</v>
      </c>
      <c r="K17" s="503">
        <f t="shared" si="18"/>
        <v>3</v>
      </c>
      <c r="L17" s="503">
        <f t="shared" si="18"/>
        <v>3</v>
      </c>
      <c r="M17" s="503">
        <f t="shared" si="18"/>
        <v>3</v>
      </c>
      <c r="N17" s="503">
        <f t="shared" si="18"/>
        <v>3</v>
      </c>
      <c r="O17" s="503">
        <f t="shared" si="18"/>
        <v>3</v>
      </c>
      <c r="P17" s="503">
        <f t="shared" si="18"/>
        <v>3</v>
      </c>
      <c r="Q17" s="503">
        <f t="shared" si="18"/>
        <v>3</v>
      </c>
      <c r="R17" s="503">
        <f t="shared" si="18"/>
        <v>3</v>
      </c>
      <c r="S17" s="503">
        <f t="shared" si="18"/>
        <v>3</v>
      </c>
      <c r="T17" s="503">
        <f t="shared" si="18"/>
        <v>3</v>
      </c>
      <c r="U17" s="503">
        <f t="shared" ref="U17:X17" si="19">IFERROR(VLOOKUP(U16,StatusTable,2,FALSE), -1)</f>
        <v>3</v>
      </c>
      <c r="V17" s="503">
        <f t="shared" si="19"/>
        <v>3</v>
      </c>
      <c r="W17" s="503">
        <f t="shared" si="19"/>
        <v>3</v>
      </c>
      <c r="X17" s="503">
        <f t="shared" si="19"/>
        <v>3</v>
      </c>
      <c r="Y17" s="503">
        <f t="shared" ref="Y17" si="20">IFERROR(VLOOKUP(Y16,StatusTable,2,FALSE), -1)</f>
        <v>3</v>
      </c>
      <c r="Z17" s="16"/>
      <c r="BB17" s="283" t="str">
        <f>CountryCode &amp; ".T1.DEBT_STATUS.S13.MNAC." &amp; RefVintage</f>
        <v>HU.T1.DEBT_STATUS.S13.MNAC.W.2020</v>
      </c>
    </row>
    <row r="18" spans="1:54" ht="17.25" thickTop="1" thickBot="1">
      <c r="A18" s="248" t="s">
        <v>189</v>
      </c>
      <c r="B18" s="414" t="s">
        <v>676</v>
      </c>
      <c r="C18" s="259" t="s">
        <v>483</v>
      </c>
      <c r="D18" s="429"/>
      <c r="E18" s="93">
        <v>4910985</v>
      </c>
      <c r="F18" s="93">
        <v>5087831</v>
      </c>
      <c r="G18" s="93">
        <v>5506525</v>
      </c>
      <c r="H18" s="93">
        <v>6319828</v>
      </c>
      <c r="I18" s="93">
        <v>7029460</v>
      </c>
      <c r="J18" s="93">
        <v>7422219</v>
      </c>
      <c r="K18" s="93">
        <v>8046338</v>
      </c>
      <c r="L18" s="93">
        <v>9689629</v>
      </c>
      <c r="M18" s="93">
        <v>11116431</v>
      </c>
      <c r="N18" s="93">
        <v>12422728</v>
      </c>
      <c r="O18" s="93">
        <v>13674097</v>
      </c>
      <c r="P18" s="93">
        <v>15684968</v>
      </c>
      <c r="Q18" s="93">
        <v>16873887</v>
      </c>
      <c r="R18" s="93">
        <v>19553724</v>
      </c>
      <c r="S18" s="93">
        <v>20694740</v>
      </c>
      <c r="T18" s="93">
        <v>21989864</v>
      </c>
      <c r="U18" s="93">
        <v>22927098</v>
      </c>
      <c r="V18" s="93">
        <v>22662231</v>
      </c>
      <c r="W18" s="93">
        <v>23431201</v>
      </c>
      <c r="X18" s="93">
        <v>25109361</v>
      </c>
      <c r="Y18" s="428">
        <v>26489814</v>
      </c>
      <c r="Z18" s="16"/>
      <c r="BB18" s="283" t="str">
        <f>CountryCode &amp; ".T1.DEBT.S13.MNAC." &amp; RefVintage</f>
        <v>HU.T1.DEBT.S13.MNAC.W.2020</v>
      </c>
    </row>
    <row r="19" spans="1:54" ht="16.5" thickTop="1">
      <c r="A19" s="248"/>
      <c r="B19" s="414"/>
      <c r="C19" s="260" t="s">
        <v>16</v>
      </c>
      <c r="D19" s="261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184"/>
      <c r="Y19" s="184"/>
      <c r="Z19" s="16"/>
    </row>
    <row r="20" spans="1:54" ht="15.75">
      <c r="A20" s="248" t="s">
        <v>190</v>
      </c>
      <c r="B20" s="414" t="s">
        <v>677</v>
      </c>
      <c r="C20" s="262" t="s">
        <v>17</v>
      </c>
      <c r="D20" s="253" t="s">
        <v>18</v>
      </c>
      <c r="E20" s="95">
        <v>460</v>
      </c>
      <c r="F20" s="95">
        <v>5900</v>
      </c>
      <c r="G20" s="95">
        <v>22600</v>
      </c>
      <c r="H20" s="95">
        <v>19611</v>
      </c>
      <c r="I20" s="95">
        <v>19462</v>
      </c>
      <c r="J20" s="95">
        <v>23064</v>
      </c>
      <c r="K20" s="95">
        <v>36286</v>
      </c>
      <c r="L20" s="95">
        <v>37331</v>
      </c>
      <c r="M20" s="95">
        <v>18938</v>
      </c>
      <c r="N20" s="95">
        <v>43495</v>
      </c>
      <c r="O20" s="95">
        <v>33082</v>
      </c>
      <c r="P20" s="95">
        <v>24663</v>
      </c>
      <c r="Q20" s="95">
        <v>36761</v>
      </c>
      <c r="R20" s="95">
        <v>43062</v>
      </c>
      <c r="S20" s="95">
        <v>16626</v>
      </c>
      <c r="T20" s="95">
        <v>23689</v>
      </c>
      <c r="U20" s="95">
        <v>23358</v>
      </c>
      <c r="V20" s="95">
        <v>34249</v>
      </c>
      <c r="W20" s="95">
        <v>68600</v>
      </c>
      <c r="X20" s="95">
        <v>66175</v>
      </c>
      <c r="Y20" s="95">
        <v>164762</v>
      </c>
      <c r="Z20" s="16"/>
      <c r="BB20" s="283" t="str">
        <f>CountryCode &amp; ".T1.AF2.S13.MNAC." &amp; RefVintage</f>
        <v>HU.T1.AF2.S13.MNAC.W.2020</v>
      </c>
    </row>
    <row r="21" spans="1:54" ht="15.75">
      <c r="A21" s="263" t="s">
        <v>506</v>
      </c>
      <c r="B21" s="414" t="s">
        <v>678</v>
      </c>
      <c r="C21" s="262" t="s">
        <v>458</v>
      </c>
      <c r="D21" s="253" t="s">
        <v>459</v>
      </c>
      <c r="E21" s="96">
        <v>1708346</v>
      </c>
      <c r="F21" s="96">
        <v>2499053</v>
      </c>
      <c r="G21" s="96">
        <v>2651536</v>
      </c>
      <c r="H21" s="96">
        <v>3306034</v>
      </c>
      <c r="I21" s="96">
        <v>4473679</v>
      </c>
      <c r="J21" s="96">
        <v>5107730.0000000009</v>
      </c>
      <c r="K21" s="96">
        <v>6062645</v>
      </c>
      <c r="L21" s="96">
        <v>7460026</v>
      </c>
      <c r="M21" s="96">
        <v>9307565</v>
      </c>
      <c r="N21" s="96">
        <v>10799339</v>
      </c>
      <c r="O21" s="96">
        <v>12085981</v>
      </c>
      <c r="P21" s="96">
        <v>13663955</v>
      </c>
      <c r="Q21" s="96">
        <v>14955653.999999998</v>
      </c>
      <c r="R21" s="96">
        <v>15750305</v>
      </c>
      <c r="S21" s="96">
        <v>15032831</v>
      </c>
      <c r="T21" s="96">
        <v>15711907</v>
      </c>
      <c r="U21" s="96">
        <v>16232981</v>
      </c>
      <c r="V21" s="96">
        <v>17302248</v>
      </c>
      <c r="W21" s="96">
        <v>19070631.999999996</v>
      </c>
      <c r="X21" s="96">
        <v>21304344</v>
      </c>
      <c r="Y21" s="96">
        <v>22204069</v>
      </c>
      <c r="Z21" s="16"/>
      <c r="BB21" s="283" t="str">
        <f>CountryCode &amp; ".T1.AF3.S13.MNAC." &amp; RefVintage</f>
        <v>HU.T1.AF3.S13.MNAC.W.2020</v>
      </c>
    </row>
    <row r="22" spans="1:54" ht="15.75">
      <c r="A22" s="263" t="s">
        <v>507</v>
      </c>
      <c r="B22" s="414" t="s">
        <v>679</v>
      </c>
      <c r="C22" s="264" t="s">
        <v>19</v>
      </c>
      <c r="D22" s="253" t="s">
        <v>468</v>
      </c>
      <c r="E22" s="97">
        <v>465427</v>
      </c>
      <c r="F22" s="97">
        <v>750870</v>
      </c>
      <c r="G22" s="97">
        <v>920252</v>
      </c>
      <c r="H22" s="97">
        <v>1052638</v>
      </c>
      <c r="I22" s="97">
        <v>1251416</v>
      </c>
      <c r="J22" s="97">
        <v>1241678</v>
      </c>
      <c r="K22" s="97">
        <v>1494431</v>
      </c>
      <c r="L22" s="97">
        <v>1944942</v>
      </c>
      <c r="M22" s="97">
        <v>2046137</v>
      </c>
      <c r="N22" s="97">
        <v>2033012</v>
      </c>
      <c r="O22" s="97">
        <v>2043248</v>
      </c>
      <c r="P22" s="97">
        <v>2368653</v>
      </c>
      <c r="Q22" s="97">
        <v>2135417</v>
      </c>
      <c r="R22" s="97">
        <v>1951030</v>
      </c>
      <c r="S22" s="97">
        <v>2020031</v>
      </c>
      <c r="T22" s="97">
        <v>1861544</v>
      </c>
      <c r="U22" s="97">
        <v>1800734</v>
      </c>
      <c r="V22" s="97">
        <v>2597490</v>
      </c>
      <c r="W22" s="97">
        <v>3171946</v>
      </c>
      <c r="X22" s="97">
        <v>2975024</v>
      </c>
      <c r="Y22" s="97">
        <v>3019071</v>
      </c>
      <c r="Z22" s="16"/>
      <c r="BB22" s="283" t="str">
        <f>CountryCode &amp; ".T1.AF31.S13.MNAC." &amp; RefVintage</f>
        <v>HU.T1.AF31.S13.MNAC.W.2020</v>
      </c>
    </row>
    <row r="23" spans="1:54" ht="15.75">
      <c r="A23" s="263" t="s">
        <v>508</v>
      </c>
      <c r="B23" s="414" t="s">
        <v>680</v>
      </c>
      <c r="C23" s="265" t="s">
        <v>20</v>
      </c>
      <c r="D23" s="253" t="s">
        <v>469</v>
      </c>
      <c r="E23" s="96">
        <v>1242919</v>
      </c>
      <c r="F23" s="96">
        <v>1748183</v>
      </c>
      <c r="G23" s="96">
        <v>1731284</v>
      </c>
      <c r="H23" s="96">
        <v>2253396</v>
      </c>
      <c r="I23" s="96">
        <v>3222263</v>
      </c>
      <c r="J23" s="96">
        <v>3866052</v>
      </c>
      <c r="K23" s="96">
        <v>4568214</v>
      </c>
      <c r="L23" s="96">
        <v>5515084</v>
      </c>
      <c r="M23" s="96">
        <v>7261428</v>
      </c>
      <c r="N23" s="96">
        <v>8766327</v>
      </c>
      <c r="O23" s="96">
        <v>10042733</v>
      </c>
      <c r="P23" s="96">
        <v>11295302</v>
      </c>
      <c r="Q23" s="96">
        <v>12820237</v>
      </c>
      <c r="R23" s="96">
        <v>13799275</v>
      </c>
      <c r="S23" s="96">
        <v>13012800</v>
      </c>
      <c r="T23" s="96">
        <v>13850363</v>
      </c>
      <c r="U23" s="96">
        <v>14432247</v>
      </c>
      <c r="V23" s="96">
        <v>14704758</v>
      </c>
      <c r="W23" s="96">
        <v>15898686</v>
      </c>
      <c r="X23" s="96">
        <v>18329320</v>
      </c>
      <c r="Y23" s="96">
        <v>19184998</v>
      </c>
      <c r="Z23" s="16"/>
      <c r="BB23" s="283" t="str">
        <f>CountryCode &amp; ".T1.AF32.S13.MNAC." &amp; RefVintage</f>
        <v>HU.T1.AF32.S13.MNAC.W.2020</v>
      </c>
    </row>
    <row r="24" spans="1:54" ht="15.75">
      <c r="A24" s="248" t="s">
        <v>191</v>
      </c>
      <c r="B24" s="414" t="s">
        <v>681</v>
      </c>
      <c r="C24" s="262" t="s">
        <v>21</v>
      </c>
      <c r="D24" s="253" t="s">
        <v>22</v>
      </c>
      <c r="E24" s="96">
        <v>3202179</v>
      </c>
      <c r="F24" s="96">
        <v>2582877.9999999995</v>
      </c>
      <c r="G24" s="96">
        <v>2832389</v>
      </c>
      <c r="H24" s="96">
        <v>2994183</v>
      </c>
      <c r="I24" s="96">
        <v>2536319</v>
      </c>
      <c r="J24" s="96">
        <v>2291425</v>
      </c>
      <c r="K24" s="96">
        <v>1947407</v>
      </c>
      <c r="L24" s="96">
        <v>2192272</v>
      </c>
      <c r="M24" s="96">
        <v>1789928</v>
      </c>
      <c r="N24" s="96">
        <v>1579894</v>
      </c>
      <c r="O24" s="96">
        <v>1555033.9999999998</v>
      </c>
      <c r="P24" s="96">
        <v>1996350.0000000002</v>
      </c>
      <c r="Q24" s="96">
        <v>1881472</v>
      </c>
      <c r="R24" s="96">
        <v>3760356.9999999995</v>
      </c>
      <c r="S24" s="96">
        <v>5645283</v>
      </c>
      <c r="T24" s="96">
        <v>6254268</v>
      </c>
      <c r="U24" s="96">
        <v>6670759</v>
      </c>
      <c r="V24" s="96">
        <v>5325733.9999999991</v>
      </c>
      <c r="W24" s="96">
        <v>4291969</v>
      </c>
      <c r="X24" s="96">
        <v>3738842</v>
      </c>
      <c r="Y24" s="96">
        <v>4120983</v>
      </c>
      <c r="Z24" s="16"/>
      <c r="AD24" s="187"/>
      <c r="BB24" s="283" t="str">
        <f>CountryCode &amp; ".T1.AF4.S13.MNAC." &amp; RefVintage</f>
        <v>HU.T1.AF4.S13.MNAC.W.2020</v>
      </c>
    </row>
    <row r="25" spans="1:54" ht="15.75">
      <c r="A25" s="248" t="s">
        <v>192</v>
      </c>
      <c r="B25" s="414" t="s">
        <v>682</v>
      </c>
      <c r="C25" s="264" t="s">
        <v>19</v>
      </c>
      <c r="D25" s="253" t="s">
        <v>23</v>
      </c>
      <c r="E25" s="96">
        <v>36371</v>
      </c>
      <c r="F25" s="96">
        <v>22236</v>
      </c>
      <c r="G25" s="96">
        <v>48523</v>
      </c>
      <c r="H25" s="96">
        <v>46915</v>
      </c>
      <c r="I25" s="96">
        <v>52633</v>
      </c>
      <c r="J25" s="96">
        <v>69829</v>
      </c>
      <c r="K25" s="96">
        <v>75778</v>
      </c>
      <c r="L25" s="96">
        <v>146068</v>
      </c>
      <c r="M25" s="96">
        <v>117562</v>
      </c>
      <c r="N25" s="96">
        <v>137229</v>
      </c>
      <c r="O25" s="96">
        <v>110259</v>
      </c>
      <c r="P25" s="96">
        <v>144602</v>
      </c>
      <c r="Q25" s="96">
        <v>178692</v>
      </c>
      <c r="R25" s="96">
        <v>213604</v>
      </c>
      <c r="S25" s="96">
        <v>194455</v>
      </c>
      <c r="T25" s="96">
        <v>458364</v>
      </c>
      <c r="U25" s="96">
        <v>653595</v>
      </c>
      <c r="V25" s="96">
        <v>514994</v>
      </c>
      <c r="W25" s="96">
        <v>253868</v>
      </c>
      <c r="X25" s="96">
        <v>408899</v>
      </c>
      <c r="Y25" s="96">
        <v>838117</v>
      </c>
      <c r="Z25" s="16"/>
      <c r="AD25" s="187"/>
      <c r="BB25" s="283" t="str">
        <f>CountryCode &amp; ".T1.AF41.S13.MNAC." &amp; RefVintage</f>
        <v>HU.T1.AF41.S13.MNAC.W.2020</v>
      </c>
    </row>
    <row r="26" spans="1:54" ht="15.75">
      <c r="A26" s="248" t="s">
        <v>193</v>
      </c>
      <c r="B26" s="414" t="s">
        <v>683</v>
      </c>
      <c r="C26" s="266" t="s">
        <v>20</v>
      </c>
      <c r="D26" s="253" t="s">
        <v>24</v>
      </c>
      <c r="E26" s="96">
        <v>3165808</v>
      </c>
      <c r="F26" s="95">
        <v>2560642</v>
      </c>
      <c r="G26" s="95">
        <v>2783866</v>
      </c>
      <c r="H26" s="95">
        <v>2947268</v>
      </c>
      <c r="I26" s="95">
        <v>2483686</v>
      </c>
      <c r="J26" s="95">
        <v>2221596</v>
      </c>
      <c r="K26" s="95">
        <v>1871629</v>
      </c>
      <c r="L26" s="95">
        <v>2046203.9999999998</v>
      </c>
      <c r="M26" s="95">
        <v>1672366</v>
      </c>
      <c r="N26" s="95">
        <v>1442665</v>
      </c>
      <c r="O26" s="95">
        <v>1444774.9999999998</v>
      </c>
      <c r="P26" s="95">
        <v>1851748</v>
      </c>
      <c r="Q26" s="95">
        <v>1702780</v>
      </c>
      <c r="R26" s="95">
        <v>3546752.9999999995</v>
      </c>
      <c r="S26" s="95">
        <v>5450828</v>
      </c>
      <c r="T26" s="95">
        <v>5795904</v>
      </c>
      <c r="U26" s="95">
        <v>6017164.0000000009</v>
      </c>
      <c r="V26" s="95">
        <v>4810740</v>
      </c>
      <c r="W26" s="95">
        <v>4038100.9999999995</v>
      </c>
      <c r="X26" s="95">
        <v>3329943</v>
      </c>
      <c r="Y26" s="95">
        <v>3282866</v>
      </c>
      <c r="Z26" s="16"/>
      <c r="BB26" s="283" t="str">
        <f>CountryCode &amp; ".T1.AF42.S13.MNAC." &amp; RefVintage</f>
        <v>HU.T1.AF42.S13.MNAC.W.2020</v>
      </c>
    </row>
    <row r="27" spans="1:54">
      <c r="A27" s="248"/>
      <c r="B27" s="414"/>
      <c r="C27" s="267"/>
      <c r="D27" s="268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6"/>
    </row>
    <row r="28" spans="1:54" ht="15.75" thickBot="1">
      <c r="A28" s="248"/>
      <c r="B28" s="414"/>
      <c r="C28" s="269"/>
      <c r="D28" s="270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6"/>
    </row>
    <row r="29" spans="1:54">
      <c r="A29" s="248"/>
      <c r="B29" s="414"/>
      <c r="C29" s="267"/>
      <c r="D29" s="268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6"/>
    </row>
    <row r="30" spans="1:54" ht="15.75">
      <c r="A30" s="248"/>
      <c r="B30" s="414"/>
      <c r="C30" s="246" t="s">
        <v>62</v>
      </c>
      <c r="D30" s="258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184"/>
      <c r="Y30" s="184"/>
      <c r="Z30" s="16"/>
    </row>
    <row r="31" spans="1:54" ht="15.75">
      <c r="A31" s="248" t="s">
        <v>194</v>
      </c>
      <c r="B31" s="414" t="s">
        <v>684</v>
      </c>
      <c r="C31" s="271" t="s">
        <v>25</v>
      </c>
      <c r="D31" s="253" t="s">
        <v>470</v>
      </c>
      <c r="E31" s="96">
        <v>32771.341</v>
      </c>
      <c r="F31" s="96">
        <v>134351</v>
      </c>
      <c r="G31" s="96">
        <v>256669.84</v>
      </c>
      <c r="H31" s="96">
        <v>367320</v>
      </c>
      <c r="I31" s="96">
        <v>391414</v>
      </c>
      <c r="J31" s="96">
        <v>474622</v>
      </c>
      <c r="K31" s="96">
        <v>603660</v>
      </c>
      <c r="L31" s="96">
        <v>894534</v>
      </c>
      <c r="M31" s="96">
        <v>721894</v>
      </c>
      <c r="N31" s="96">
        <v>800146</v>
      </c>
      <c r="O31" s="96">
        <v>938226</v>
      </c>
      <c r="P31" s="96">
        <v>1244256</v>
      </c>
      <c r="Q31" s="96">
        <v>1087857</v>
      </c>
      <c r="R31" s="96">
        <v>868936</v>
      </c>
      <c r="S31" s="96">
        <v>905164</v>
      </c>
      <c r="T31" s="96">
        <v>995609</v>
      </c>
      <c r="U31" s="96">
        <v>945642</v>
      </c>
      <c r="V31" s="96">
        <v>1071355</v>
      </c>
      <c r="W31" s="96">
        <v>1320473</v>
      </c>
      <c r="X31" s="96">
        <v>1746144</v>
      </c>
      <c r="Y31" s="96">
        <v>2278532.628</v>
      </c>
      <c r="Z31" s="16"/>
      <c r="BB31" s="283" t="str">
        <f>CountryCode &amp; ".T1.P51.S13.MNAC." &amp; RefVintage</f>
        <v>HU.T1.P51.S13.MNAC.W.2020</v>
      </c>
    </row>
    <row r="32" spans="1:54" ht="15.75">
      <c r="A32" s="263" t="s">
        <v>484</v>
      </c>
      <c r="B32" s="414" t="s">
        <v>685</v>
      </c>
      <c r="C32" s="271" t="s">
        <v>26</v>
      </c>
      <c r="D32" s="253" t="s">
        <v>54</v>
      </c>
      <c r="E32" s="96">
        <v>510576</v>
      </c>
      <c r="F32" s="96">
        <v>644480</v>
      </c>
      <c r="G32" s="96">
        <v>745950</v>
      </c>
      <c r="H32" s="96">
        <v>737528</v>
      </c>
      <c r="I32" s="96">
        <v>779384</v>
      </c>
      <c r="J32" s="96">
        <v>704253</v>
      </c>
      <c r="K32" s="96">
        <v>724255</v>
      </c>
      <c r="L32" s="96">
        <v>697569</v>
      </c>
      <c r="M32" s="96">
        <v>770625</v>
      </c>
      <c r="N32" s="96">
        <v>913812</v>
      </c>
      <c r="O32" s="96">
        <v>916575</v>
      </c>
      <c r="P32" s="96">
        <v>935718</v>
      </c>
      <c r="Q32" s="96">
        <v>1037437</v>
      </c>
      <c r="R32" s="96">
        <v>1105420</v>
      </c>
      <c r="S32" s="96">
        <v>1193943</v>
      </c>
      <c r="T32" s="96">
        <v>1124043</v>
      </c>
      <c r="U32" s="96">
        <v>1179822</v>
      </c>
      <c r="V32" s="96">
        <v>1319578</v>
      </c>
      <c r="W32" s="96">
        <v>1368755</v>
      </c>
      <c r="X32" s="96">
        <v>1300104.42</v>
      </c>
      <c r="Y32" s="96">
        <v>1202901.8020000001</v>
      </c>
      <c r="Z32" s="16"/>
      <c r="BB32" s="283" t="str">
        <f>CountryCode &amp; ".T1.ESAD41.S13.MNAC." &amp; RefVintage</f>
        <v>HU.T1.ESAD41.S13.MNAC.W.2020</v>
      </c>
    </row>
    <row r="33" spans="1:54" ht="15.75" thickBot="1">
      <c r="A33" s="248"/>
      <c r="B33" s="414"/>
      <c r="C33" s="273"/>
      <c r="D33" s="274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6"/>
    </row>
    <row r="34" spans="1:54" ht="16.5" thickBot="1">
      <c r="A34" s="248"/>
      <c r="B34" s="414"/>
      <c r="C34" s="242"/>
      <c r="D34" s="275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184"/>
      <c r="Y34" s="184"/>
      <c r="Z34" s="16"/>
    </row>
    <row r="35" spans="1:54" ht="17.25" thickTop="1" thickBot="1">
      <c r="A35" s="248" t="s">
        <v>195</v>
      </c>
      <c r="B35" s="414" t="s">
        <v>686</v>
      </c>
      <c r="C35" s="259" t="s">
        <v>27</v>
      </c>
      <c r="D35" s="276" t="s">
        <v>28</v>
      </c>
      <c r="E35" s="93">
        <v>5836482</v>
      </c>
      <c r="F35" s="93">
        <v>7122304</v>
      </c>
      <c r="G35" s="93">
        <v>8834560</v>
      </c>
      <c r="H35" s="93">
        <v>10442818</v>
      </c>
      <c r="I35" s="93">
        <v>11637546</v>
      </c>
      <c r="J35" s="93">
        <v>13324052</v>
      </c>
      <c r="K35" s="93">
        <v>15398700</v>
      </c>
      <c r="L35" s="93">
        <v>17433859</v>
      </c>
      <c r="M35" s="93">
        <v>19133811</v>
      </c>
      <c r="N35" s="93">
        <v>21077457</v>
      </c>
      <c r="O35" s="93">
        <v>22549020</v>
      </c>
      <c r="P35" s="93">
        <v>24316298</v>
      </c>
      <c r="Q35" s="93">
        <v>25701369</v>
      </c>
      <c r="R35" s="93">
        <v>27217365</v>
      </c>
      <c r="S35" s="93">
        <v>26458264</v>
      </c>
      <c r="T35" s="93">
        <v>27268876</v>
      </c>
      <c r="U35" s="93">
        <v>28370786</v>
      </c>
      <c r="V35" s="93">
        <v>28847930</v>
      </c>
      <c r="W35" s="93">
        <v>30290328</v>
      </c>
      <c r="X35" s="93">
        <v>32694208</v>
      </c>
      <c r="Y35" s="428">
        <v>34785203</v>
      </c>
      <c r="Z35" s="16"/>
      <c r="BB35" s="283" t="str">
        <f>CountryCode &amp; ".T1.GDP.S1.MNAC." &amp; RefVintage</f>
        <v>HU.T1.GDP.S1.MNAC.W.2020</v>
      </c>
    </row>
    <row r="36" spans="1:54" ht="27" thickTop="1">
      <c r="A36" s="231"/>
      <c r="B36" s="232"/>
      <c r="C36" s="277" t="s">
        <v>29</v>
      </c>
      <c r="D36" s="154"/>
      <c r="Z36" s="16"/>
    </row>
    <row r="37" spans="1:54" ht="13.5" customHeight="1">
      <c r="A37" s="231"/>
      <c r="B37" s="232"/>
      <c r="C37" s="278"/>
      <c r="D37" s="154"/>
      <c r="Z37" s="16"/>
    </row>
    <row r="38" spans="1:54" ht="15.75" customHeight="1" thickBot="1">
      <c r="A38" s="279"/>
      <c r="B38" s="280"/>
      <c r="C38" s="281"/>
      <c r="D38" s="282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17"/>
    </row>
    <row r="39" spans="1:54" ht="15.75" thickTop="1">
      <c r="A39" s="220"/>
      <c r="B39" s="221"/>
      <c r="C39" s="239"/>
      <c r="D39" s="283"/>
    </row>
    <row r="40" spans="1:54">
      <c r="A40" s="220"/>
      <c r="B40" s="221"/>
      <c r="C40" s="239"/>
      <c r="D40" s="283"/>
    </row>
    <row r="41" spans="1:54" ht="32.25" customHeight="1">
      <c r="A41" s="220"/>
      <c r="B41" s="221"/>
      <c r="C41" s="323" t="s">
        <v>120</v>
      </c>
      <c r="D41" s="194"/>
      <c r="E41" s="540" t="str">
        <f>IF(COUNTA(E10:X14,E18:X18,E20:X26,E31:X32,E35:X35)/320*100=100,"OK - Table 1 is fully completed","WARNING - Table 1 is not fully completed, please fill in figure, L, M or 0")</f>
        <v>OK - Table 1 is fully completed</v>
      </c>
      <c r="F41" s="540"/>
      <c r="G41" s="540"/>
      <c r="H41" s="540"/>
      <c r="I41" s="540"/>
      <c r="J41" s="540"/>
      <c r="K41" s="540"/>
      <c r="L41" s="540"/>
      <c r="M41" s="540"/>
      <c r="N41" s="540"/>
      <c r="O41" s="540"/>
      <c r="P41" s="540"/>
      <c r="Q41" s="540"/>
      <c r="R41" s="540"/>
      <c r="S41" s="540"/>
      <c r="T41" s="540"/>
      <c r="U41" s="540"/>
      <c r="V41" s="540"/>
      <c r="W41" s="540"/>
      <c r="X41" s="540"/>
      <c r="Y41" s="540"/>
      <c r="Z41" s="195"/>
    </row>
    <row r="42" spans="1:54">
      <c r="A42" s="220"/>
      <c r="B42" s="221"/>
      <c r="C42" s="196" t="s">
        <v>121</v>
      </c>
      <c r="D42" s="19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19"/>
      <c r="Y42" s="524"/>
      <c r="Z42" s="198"/>
    </row>
    <row r="43" spans="1:54" ht="15.75">
      <c r="A43" s="220"/>
      <c r="B43" s="221"/>
      <c r="C43" s="205" t="s">
        <v>122</v>
      </c>
      <c r="D43" s="199"/>
      <c r="E43" s="200">
        <f>IF(AND(E10="0",E11="0",E12="0",E13="0",E14="0"),0,IF(AND(E10="L",E11="L",E12="L",E13="L",E14="L"),"NC",IF(E10="M",0,E10)-IF(E11="M",0,E11)-IF(E12="M",0,E12)-IF(E13="M",0,E13)-IF(E14="M",0,E14)))</f>
        <v>0</v>
      </c>
      <c r="F43" s="200">
        <f t="shared" ref="F43:T43" si="21">IF(AND(F10="0",F11="0",F12="0",F13="0",F14="0"),0,IF(AND(F10="L",F11="L",F12="L",F13="L",F14="L"),"NC",IF(F10="M",0,F10)-IF(F11="M",0,F11)-IF(F12="M",0,F12)-IF(F13="M",0,F13)-IF(F14="M",0,F14)))</f>
        <v>0</v>
      </c>
      <c r="G43" s="200">
        <f t="shared" si="21"/>
        <v>0</v>
      </c>
      <c r="H43" s="200">
        <f t="shared" si="21"/>
        <v>0</v>
      </c>
      <c r="I43" s="200">
        <f t="shared" si="21"/>
        <v>0</v>
      </c>
      <c r="J43" s="200">
        <f t="shared" si="21"/>
        <v>1.4551915228366852E-11</v>
      </c>
      <c r="K43" s="200">
        <f t="shared" si="21"/>
        <v>-2.9103830456733704E-11</v>
      </c>
      <c r="L43" s="200">
        <f t="shared" si="21"/>
        <v>0</v>
      </c>
      <c r="M43" s="200">
        <f t="shared" si="21"/>
        <v>0</v>
      </c>
      <c r="N43" s="200">
        <f t="shared" si="21"/>
        <v>0</v>
      </c>
      <c r="O43" s="200">
        <f t="shared" si="21"/>
        <v>-1.1641532182693481E-10</v>
      </c>
      <c r="P43" s="200">
        <f t="shared" si="21"/>
        <v>0</v>
      </c>
      <c r="Q43" s="200">
        <f t="shared" si="21"/>
        <v>0</v>
      </c>
      <c r="R43" s="200">
        <f t="shared" si="21"/>
        <v>0</v>
      </c>
      <c r="S43" s="200">
        <f t="shared" si="21"/>
        <v>0</v>
      </c>
      <c r="T43" s="200">
        <f t="shared" si="21"/>
        <v>0</v>
      </c>
      <c r="U43" s="200">
        <f t="shared" ref="U43:W43" si="22">IF(AND(U10="0",U11="0",U12="0",U13="0",U14="0"),0,IF(AND(U10="L",U11="L",U12="L",U13="L",U14="L"),"NC",IF(U10="M",0,U10)-IF(U11="M",0,U11)-IF(U12="M",0,U12)-IF(U13="M",0,U13)-IF(U14="M",0,U14)))</f>
        <v>0</v>
      </c>
      <c r="V43" s="200">
        <f t="shared" si="22"/>
        <v>0</v>
      </c>
      <c r="W43" s="200">
        <f t="shared" si="22"/>
        <v>0</v>
      </c>
      <c r="X43" s="200">
        <f t="shared" ref="X43:Y43" si="23">IF(AND(X10="0",X11="0",X12="0",X13="0",X14="0"),0,IF(AND(X10="L",X11="L",X12="L",X13="L",X14="L"),"NC",IF(X10="M",0,X10)-IF(X11="M",0,X11)-IF(X12="M",0,X12)-IF(X13="M",0,X13)-IF(X14="M",0,X14)))</f>
        <v>-5.8207660913467407E-11</v>
      </c>
      <c r="Y43" s="200">
        <f t="shared" si="23"/>
        <v>-9.4587448984384537E-11</v>
      </c>
      <c r="Z43" s="201"/>
    </row>
    <row r="44" spans="1:54" ht="15.75">
      <c r="A44" s="220"/>
      <c r="B44" s="221"/>
      <c r="C44" s="205" t="s">
        <v>509</v>
      </c>
      <c r="D44" s="199"/>
      <c r="E44" s="200">
        <f>IF(AND(E18="0",E20="0",E21="0",E24="0"),0,IF(AND(E18="L",E20="L",E21="L",E24="L"),"NC",IF(E18="M",0,E18)-IF(E20="M",0,E20)-IF(E21="M",0,E21)-IF(E24="M",0,E24)))</f>
        <v>0</v>
      </c>
      <c r="F44" s="200">
        <f t="shared" ref="F44:T44" si="24">IF(AND(F18="0",F20="0",F21="0",F24="0"),0,IF(AND(F18="L",F20="L",F21="L",F24="L"),"NC",IF(F18="M",0,F18)-IF(F20="M",0,F20)-IF(F21="M",0,F21)-IF(F24="M",0,F24)))</f>
        <v>4.6566128730773926E-10</v>
      </c>
      <c r="G44" s="200">
        <f t="shared" si="24"/>
        <v>0</v>
      </c>
      <c r="H44" s="200">
        <f t="shared" si="24"/>
        <v>0</v>
      </c>
      <c r="I44" s="200">
        <f t="shared" si="24"/>
        <v>0</v>
      </c>
      <c r="J44" s="200">
        <f t="shared" si="24"/>
        <v>-9.3132257461547852E-10</v>
      </c>
      <c r="K44" s="200">
        <f t="shared" si="24"/>
        <v>0</v>
      </c>
      <c r="L44" s="200">
        <f t="shared" si="24"/>
        <v>0</v>
      </c>
      <c r="M44" s="200">
        <f t="shared" si="24"/>
        <v>0</v>
      </c>
      <c r="N44" s="200">
        <f t="shared" si="24"/>
        <v>0</v>
      </c>
      <c r="O44" s="200">
        <f t="shared" si="24"/>
        <v>2.3283064365386963E-10</v>
      </c>
      <c r="P44" s="200">
        <f t="shared" si="24"/>
        <v>-2.3283064365386963E-10</v>
      </c>
      <c r="Q44" s="200">
        <f t="shared" si="24"/>
        <v>1.862645149230957E-9</v>
      </c>
      <c r="R44" s="200">
        <f t="shared" si="24"/>
        <v>4.6566128730773926E-10</v>
      </c>
      <c r="S44" s="200">
        <f t="shared" si="24"/>
        <v>0</v>
      </c>
      <c r="T44" s="200">
        <f t="shared" si="24"/>
        <v>0</v>
      </c>
      <c r="U44" s="200">
        <f t="shared" ref="U44:W44" si="25">IF(AND(U18="0",U20="0",U21="0",U24="0"),0,IF(AND(U18="L",U20="L",U21="L",U24="L"),"NC",IF(U18="M",0,U18)-IF(U20="M",0,U20)-IF(U21="M",0,U21)-IF(U24="M",0,U24)))</f>
        <v>0</v>
      </c>
      <c r="V44" s="200">
        <f t="shared" si="25"/>
        <v>9.3132257461547852E-10</v>
      </c>
      <c r="W44" s="200">
        <f t="shared" si="25"/>
        <v>3.7252902984619141E-9</v>
      </c>
      <c r="X44" s="200">
        <f t="shared" ref="X44:Y44" si="26">IF(AND(X18="0",X20="0",X21="0",X24="0"),0,IF(AND(X18="L",X20="L",X21="L",X24="L"),"NC",IF(X18="M",0,X18)-IF(X20="M",0,X20)-IF(X21="M",0,X21)-IF(X24="M",0,X24)))</f>
        <v>0</v>
      </c>
      <c r="Y44" s="200">
        <f t="shared" si="26"/>
        <v>0</v>
      </c>
      <c r="Z44" s="201"/>
    </row>
    <row r="45" spans="1:54" ht="15.75">
      <c r="A45" s="220"/>
      <c r="B45" s="221"/>
      <c r="C45" s="205" t="s">
        <v>510</v>
      </c>
      <c r="D45" s="199"/>
      <c r="E45" s="200">
        <f>IF(AND(E21="0",E22="0",E23="0"),0,IF(AND(E21="L",E22="L",E23="L"),"NC",IF(E21="M",0,E21)-IF(E22="M",0,E22)-IF(E23="M",0,E23)))</f>
        <v>0</v>
      </c>
      <c r="F45" s="200">
        <f t="shared" ref="F45:T45" si="27">IF(AND(F21="0",F22="0",F23="0"),0,IF(AND(F21="L",F22="L",F23="L"),"NC",IF(F21="M",0,F21)-IF(F22="M",0,F22)-IF(F23="M",0,F23)))</f>
        <v>0</v>
      </c>
      <c r="G45" s="200">
        <f t="shared" si="27"/>
        <v>0</v>
      </c>
      <c r="H45" s="200">
        <f t="shared" si="27"/>
        <v>0</v>
      </c>
      <c r="I45" s="200">
        <f t="shared" si="27"/>
        <v>0</v>
      </c>
      <c r="J45" s="200">
        <f t="shared" si="27"/>
        <v>9.3132257461547852E-10</v>
      </c>
      <c r="K45" s="200">
        <f t="shared" si="27"/>
        <v>0</v>
      </c>
      <c r="L45" s="200">
        <f t="shared" si="27"/>
        <v>0</v>
      </c>
      <c r="M45" s="200">
        <f t="shared" si="27"/>
        <v>0</v>
      </c>
      <c r="N45" s="200">
        <f t="shared" si="27"/>
        <v>0</v>
      </c>
      <c r="O45" s="200">
        <f t="shared" si="27"/>
        <v>0</v>
      </c>
      <c r="P45" s="200">
        <f t="shared" si="27"/>
        <v>0</v>
      </c>
      <c r="Q45" s="200">
        <f t="shared" si="27"/>
        <v>-1.862645149230957E-9</v>
      </c>
      <c r="R45" s="200">
        <f t="shared" si="27"/>
        <v>0</v>
      </c>
      <c r="S45" s="200">
        <f t="shared" si="27"/>
        <v>0</v>
      </c>
      <c r="T45" s="200">
        <f t="shared" si="27"/>
        <v>0</v>
      </c>
      <c r="U45" s="200">
        <f t="shared" ref="U45:W45" si="28">IF(AND(U21="0",U22="0",U23="0"),0,IF(AND(U21="L",U22="L",U23="L"),"NC",IF(U21="M",0,U21)-IF(U22="M",0,U22)-IF(U23="M",0,U23)))</f>
        <v>0</v>
      </c>
      <c r="V45" s="200">
        <f t="shared" si="28"/>
        <v>0</v>
      </c>
      <c r="W45" s="200">
        <f t="shared" si="28"/>
        <v>-3.7252902984619141E-9</v>
      </c>
      <c r="X45" s="200">
        <f t="shared" ref="X45:Y45" si="29">IF(AND(X21="0",X22="0",X23="0"),0,IF(AND(X21="L",X22="L",X23="L"),"NC",IF(X21="M",0,X21)-IF(X22="M",0,X22)-IF(X23="M",0,X23)))</f>
        <v>0</v>
      </c>
      <c r="Y45" s="200">
        <f t="shared" si="29"/>
        <v>0</v>
      </c>
      <c r="Z45" s="201"/>
    </row>
    <row r="46" spans="1:54" ht="15.75">
      <c r="A46" s="220"/>
      <c r="B46" s="221"/>
      <c r="C46" s="206" t="s">
        <v>123</v>
      </c>
      <c r="D46" s="202"/>
      <c r="E46" s="203">
        <f>IF(AND(E24="0",E25="0",E26="0"),0,IF(AND(E24="L",E25="L",E26="L"),"NC",IF(E24="M",0,E24)-IF(E25="M",0,E25)-IF(E26="M",0,E26)))</f>
        <v>0</v>
      </c>
      <c r="F46" s="203">
        <f t="shared" ref="F46:T46" si="30">IF(AND(F24="0",F25="0",F26="0"),0,IF(AND(F24="L",F25="L",F26="L"),"NC",IF(F24="M",0,F24)-IF(F25="M",0,F25)-IF(F26="M",0,F26)))</f>
        <v>-4.6566128730773926E-10</v>
      </c>
      <c r="G46" s="203">
        <f t="shared" si="30"/>
        <v>0</v>
      </c>
      <c r="H46" s="203">
        <f t="shared" si="30"/>
        <v>0</v>
      </c>
      <c r="I46" s="203">
        <f t="shared" si="30"/>
        <v>0</v>
      </c>
      <c r="J46" s="203">
        <f t="shared" si="30"/>
        <v>0</v>
      </c>
      <c r="K46" s="203">
        <f t="shared" si="30"/>
        <v>0</v>
      </c>
      <c r="L46" s="203">
        <f t="shared" si="30"/>
        <v>2.3283064365386963E-10</v>
      </c>
      <c r="M46" s="203">
        <f t="shared" si="30"/>
        <v>0</v>
      </c>
      <c r="N46" s="203">
        <f t="shared" si="30"/>
        <v>0</v>
      </c>
      <c r="O46" s="203">
        <f t="shared" si="30"/>
        <v>0</v>
      </c>
      <c r="P46" s="203">
        <f t="shared" si="30"/>
        <v>2.3283064365386963E-10</v>
      </c>
      <c r="Q46" s="203">
        <f t="shared" si="30"/>
        <v>0</v>
      </c>
      <c r="R46" s="203">
        <f t="shared" si="30"/>
        <v>0</v>
      </c>
      <c r="S46" s="203">
        <f t="shared" si="30"/>
        <v>0</v>
      </c>
      <c r="T46" s="203">
        <f t="shared" si="30"/>
        <v>0</v>
      </c>
      <c r="U46" s="203">
        <f t="shared" ref="U46:W46" si="31">IF(AND(U24="0",U25="0",U26="0"),0,IF(AND(U24="L",U25="L",U26="L"),"NC",IF(U24="M",0,U24)-IF(U25="M",0,U25)-IF(U26="M",0,U26)))</f>
        <v>-9.3132257461547852E-10</v>
      </c>
      <c r="V46" s="203">
        <f t="shared" si="31"/>
        <v>-9.3132257461547852E-10</v>
      </c>
      <c r="W46" s="203">
        <f t="shared" si="31"/>
        <v>4.6566128730773926E-10</v>
      </c>
      <c r="X46" s="203">
        <f t="shared" ref="X46:Y46" si="32">IF(AND(X24="0",X25="0",X26="0"),0,IF(AND(X24="L",X25="L",X26="L"),"NC",IF(X24="M",0,X24)-IF(X25="M",0,X25)-IF(X26="M",0,X26)))</f>
        <v>0</v>
      </c>
      <c r="Y46" s="203">
        <f t="shared" si="32"/>
        <v>0</v>
      </c>
      <c r="Z46" s="204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4" ht="10.5" customHeight="1"/>
    <row r="247" spans="1:54" ht="6" customHeight="1"/>
    <row r="248" spans="1:54" s="18" customFormat="1" ht="14.25">
      <c r="A248" s="20"/>
      <c r="B248" s="174"/>
      <c r="C248" s="36"/>
      <c r="BB248" s="509"/>
    </row>
    <row r="249" spans="1:54" s="19" customFormat="1" ht="12.75">
      <c r="A249" s="20"/>
      <c r="B249" s="209"/>
      <c r="C249" s="37"/>
      <c r="BB249" s="511"/>
    </row>
    <row r="250" spans="1:54" s="18" customFormat="1" ht="14.25">
      <c r="A250" s="20"/>
      <c r="B250" s="174"/>
      <c r="C250" s="36"/>
      <c r="BB250" s="509"/>
    </row>
    <row r="251" spans="1:54" s="18" customFormat="1" ht="14.25">
      <c r="A251" s="20"/>
      <c r="B251" s="174"/>
      <c r="C251" s="36"/>
      <c r="BB251" s="509"/>
    </row>
    <row r="252" spans="1:54" s="18" customFormat="1" ht="14.25">
      <c r="A252" s="20"/>
      <c r="B252" s="174"/>
      <c r="C252" s="36"/>
      <c r="BB252" s="509"/>
    </row>
    <row r="253" spans="1:54" s="18" customFormat="1" ht="14.25">
      <c r="A253" s="20"/>
      <c r="B253" s="174"/>
      <c r="C253" s="36"/>
      <c r="BB253" s="509"/>
    </row>
    <row r="254" spans="1:54" s="18" customFormat="1" ht="14.25">
      <c r="A254" s="20"/>
      <c r="B254" s="174"/>
      <c r="C254" s="36"/>
      <c r="BB254" s="509"/>
    </row>
    <row r="255" spans="1:54" s="18" customFormat="1" ht="14.25">
      <c r="A255" s="20"/>
      <c r="B255" s="174"/>
      <c r="C255" s="36"/>
      <c r="BB255" s="509"/>
    </row>
    <row r="256" spans="1:54" s="18" customFormat="1" ht="14.25">
      <c r="A256" s="20"/>
      <c r="B256" s="174"/>
      <c r="C256" s="36"/>
      <c r="BB256" s="509"/>
    </row>
    <row r="257" spans="1:54" s="18" customFormat="1" ht="14.25">
      <c r="A257" s="20"/>
      <c r="B257" s="174"/>
      <c r="C257" s="36"/>
      <c r="BB257" s="509"/>
    </row>
    <row r="258" spans="1:54" s="18" customFormat="1" ht="14.25">
      <c r="A258" s="20"/>
      <c r="B258" s="174"/>
      <c r="C258" s="36"/>
      <c r="BB258" s="509"/>
    </row>
    <row r="259" spans="1:54" s="18" customFormat="1" ht="14.25">
      <c r="A259" s="20"/>
      <c r="B259" s="174"/>
      <c r="C259" s="36"/>
      <c r="BB259" s="509"/>
    </row>
    <row r="260" spans="1:54" s="18" customFormat="1" ht="14.25">
      <c r="A260" s="20"/>
      <c r="B260" s="174"/>
      <c r="C260" s="36"/>
      <c r="BB260" s="509"/>
    </row>
    <row r="261" spans="1:54" s="18" customFormat="1" ht="14.25">
      <c r="A261" s="20"/>
      <c r="B261" s="174"/>
      <c r="C261" s="36"/>
      <c r="BB261" s="509"/>
    </row>
    <row r="262" spans="1:54" s="18" customFormat="1" ht="14.25">
      <c r="A262" s="20"/>
      <c r="B262" s="174"/>
      <c r="C262" s="36"/>
      <c r="BB262" s="509"/>
    </row>
    <row r="263" spans="1:54" s="18" customFormat="1" ht="14.25">
      <c r="A263" s="20"/>
      <c r="B263" s="174"/>
      <c r="C263" s="36"/>
      <c r="BB263" s="509"/>
    </row>
    <row r="264" spans="1:54" s="18" customFormat="1" ht="14.25">
      <c r="A264" s="20"/>
      <c r="B264" s="174"/>
      <c r="C264" s="36"/>
      <c r="BB264" s="509"/>
    </row>
    <row r="265" spans="1:54" s="18" customFormat="1" ht="14.25">
      <c r="A265" s="20"/>
      <c r="B265" s="174"/>
      <c r="C265" s="36"/>
      <c r="BB265" s="509"/>
    </row>
    <row r="266" spans="1:54" s="18" customFormat="1" ht="14.25">
      <c r="A266" s="20"/>
      <c r="B266" s="174"/>
      <c r="C266" s="36"/>
      <c r="BB266" s="509"/>
    </row>
    <row r="267" spans="1:54" s="18" customFormat="1" ht="14.25">
      <c r="A267" s="20"/>
      <c r="B267" s="174"/>
      <c r="C267" s="36"/>
      <c r="BB267" s="509"/>
    </row>
    <row r="268" spans="1:54" s="18" customFormat="1" ht="14.25">
      <c r="A268" s="20"/>
      <c r="B268" s="174"/>
      <c r="C268" s="36"/>
      <c r="BB268" s="509"/>
    </row>
    <row r="269" spans="1:54" s="18" customFormat="1" ht="14.25">
      <c r="A269" s="20"/>
      <c r="B269" s="174"/>
      <c r="C269" s="36"/>
      <c r="BB269" s="509"/>
    </row>
    <row r="270" spans="1:54" s="18" customFormat="1" ht="14.25">
      <c r="A270" s="20"/>
      <c r="B270" s="174"/>
      <c r="C270" s="36"/>
      <c r="BB270" s="509"/>
    </row>
    <row r="271" spans="1:54" s="18" customFormat="1" ht="14.25">
      <c r="A271" s="20"/>
      <c r="B271" s="174"/>
      <c r="C271" s="36"/>
      <c r="BB271" s="509"/>
    </row>
    <row r="272" spans="1:54" s="18" customFormat="1" ht="14.25">
      <c r="A272" s="20"/>
      <c r="B272" s="174"/>
      <c r="C272" s="36"/>
      <c r="BB272" s="509"/>
    </row>
    <row r="273" spans="1:54" s="18" customFormat="1" ht="14.25">
      <c r="A273" s="20"/>
      <c r="B273" s="174"/>
      <c r="C273" s="36"/>
      <c r="BB273" s="509"/>
    </row>
    <row r="274" spans="1:54" s="18" customFormat="1" ht="14.25">
      <c r="A274" s="20"/>
      <c r="B274" s="174"/>
      <c r="C274" s="36"/>
      <c r="BB274" s="509"/>
    </row>
    <row r="275" spans="1:54" s="18" customFormat="1" ht="14.25">
      <c r="A275" s="20"/>
      <c r="B275" s="174"/>
      <c r="C275" s="36"/>
      <c r="BB275" s="509"/>
    </row>
    <row r="276" spans="1:54" s="18" customFormat="1" ht="14.25">
      <c r="A276" s="20"/>
      <c r="B276" s="174"/>
      <c r="C276" s="36"/>
      <c r="BB276" s="509"/>
    </row>
    <row r="277" spans="1:54" s="18" customFormat="1" ht="14.25">
      <c r="A277" s="20"/>
      <c r="B277" s="174"/>
      <c r="C277" s="36"/>
      <c r="BB277" s="509"/>
    </row>
    <row r="278" spans="1:54" ht="9" customHeight="1"/>
    <row r="279" spans="1:54" ht="9" customHeight="1"/>
    <row r="283" spans="1:54" ht="9.75" customHeight="1"/>
    <row r="285" spans="1:54" ht="8.25" customHeight="1"/>
    <row r="286" spans="1:54" ht="16.5" customHeight="1"/>
    <row r="287" spans="1:54" ht="16.5" customHeight="1"/>
    <row r="289" spans="1:54" ht="9.75" customHeight="1"/>
    <row r="290" spans="1:54" ht="9.75" customHeight="1"/>
    <row r="291" spans="1:54" ht="9.75" customHeight="1"/>
    <row r="299" spans="1:54" ht="10.5" customHeight="1"/>
    <row r="301" spans="1:54" ht="6" customHeight="1"/>
    <row r="302" spans="1:54" s="18" customFormat="1" ht="14.25">
      <c r="A302" s="20"/>
      <c r="B302" s="174"/>
      <c r="C302" s="36"/>
      <c r="BB302" s="509"/>
    </row>
    <row r="303" spans="1:54" s="19" customFormat="1" ht="12.75">
      <c r="A303" s="20"/>
      <c r="B303" s="209"/>
      <c r="C303" s="37"/>
      <c r="BB303" s="511"/>
    </row>
    <row r="304" spans="1:54" s="18" customFormat="1" ht="14.25">
      <c r="A304" s="20"/>
      <c r="B304" s="174"/>
      <c r="C304" s="36"/>
      <c r="BB304" s="509"/>
    </row>
    <row r="305" spans="1:54" s="18" customFormat="1" ht="14.25">
      <c r="A305" s="20"/>
      <c r="B305" s="174"/>
      <c r="C305" s="36"/>
      <c r="BB305" s="509"/>
    </row>
    <row r="306" spans="1:54" s="18" customFormat="1" ht="14.25">
      <c r="A306" s="20"/>
      <c r="B306" s="174"/>
      <c r="C306" s="36"/>
      <c r="BB306" s="509"/>
    </row>
    <row r="307" spans="1:54" s="18" customFormat="1" ht="14.25">
      <c r="A307" s="20"/>
      <c r="B307" s="174"/>
      <c r="C307" s="36"/>
      <c r="BB307" s="509"/>
    </row>
    <row r="308" spans="1:54" s="18" customFormat="1" ht="14.25">
      <c r="A308" s="20"/>
      <c r="B308" s="174"/>
      <c r="C308" s="36"/>
      <c r="BB308" s="509"/>
    </row>
    <row r="309" spans="1:54" s="18" customFormat="1" ht="14.25">
      <c r="A309" s="20"/>
      <c r="B309" s="174"/>
      <c r="C309" s="36"/>
      <c r="BB309" s="509"/>
    </row>
    <row r="310" spans="1:54" s="18" customFormat="1" ht="14.25">
      <c r="A310" s="20"/>
      <c r="B310" s="174"/>
      <c r="C310" s="36"/>
      <c r="BB310" s="509"/>
    </row>
    <row r="311" spans="1:54" s="18" customFormat="1" ht="14.25">
      <c r="A311" s="20"/>
      <c r="B311" s="174"/>
      <c r="C311" s="36"/>
      <c r="BB311" s="509"/>
    </row>
    <row r="312" spans="1:54" s="18" customFormat="1" ht="14.25">
      <c r="A312" s="20"/>
      <c r="B312" s="174"/>
      <c r="C312" s="36"/>
      <c r="BB312" s="509"/>
    </row>
    <row r="313" spans="1:54" s="18" customFormat="1" ht="14.25">
      <c r="A313" s="20"/>
      <c r="B313" s="174"/>
      <c r="C313" s="36"/>
      <c r="BB313" s="509"/>
    </row>
    <row r="314" spans="1:54" s="18" customFormat="1" ht="14.25">
      <c r="A314" s="20"/>
      <c r="B314" s="174"/>
      <c r="C314" s="36"/>
      <c r="BB314" s="509"/>
    </row>
    <row r="315" spans="1:54" s="18" customFormat="1" ht="14.25">
      <c r="A315" s="20"/>
      <c r="B315" s="174"/>
      <c r="C315" s="36"/>
      <c r="BB315" s="509"/>
    </row>
    <row r="316" spans="1:54" s="18" customFormat="1" ht="14.25">
      <c r="A316" s="20"/>
      <c r="B316" s="174"/>
      <c r="C316" s="36"/>
      <c r="BB316" s="509"/>
    </row>
    <row r="317" spans="1:54" s="18" customFormat="1" ht="14.25">
      <c r="A317" s="20"/>
      <c r="B317" s="174"/>
      <c r="C317" s="36"/>
      <c r="BB317" s="509"/>
    </row>
    <row r="318" spans="1:54" s="18" customFormat="1" ht="14.25">
      <c r="A318" s="20"/>
      <c r="B318" s="174"/>
      <c r="C318" s="36"/>
      <c r="BB318" s="509"/>
    </row>
    <row r="319" spans="1:54" s="18" customFormat="1" ht="14.25">
      <c r="A319" s="20"/>
      <c r="B319" s="174"/>
      <c r="C319" s="36"/>
      <c r="BB319" s="509"/>
    </row>
    <row r="320" spans="1:54" s="18" customFormat="1" ht="14.25">
      <c r="A320" s="20"/>
      <c r="B320" s="174"/>
      <c r="C320" s="36"/>
      <c r="BB320" s="509"/>
    </row>
    <row r="321" spans="1:54" s="18" customFormat="1" ht="14.25">
      <c r="A321" s="20"/>
      <c r="B321" s="174"/>
      <c r="C321" s="36"/>
      <c r="BB321" s="509"/>
    </row>
    <row r="322" spans="1:54" s="18" customFormat="1" ht="14.25">
      <c r="A322" s="20"/>
      <c r="B322" s="174"/>
      <c r="C322" s="36"/>
      <c r="BB322" s="509"/>
    </row>
    <row r="323" spans="1:54" s="18" customFormat="1" ht="14.25">
      <c r="A323" s="20"/>
      <c r="B323" s="174"/>
      <c r="C323" s="36"/>
      <c r="BB323" s="509"/>
    </row>
    <row r="324" spans="1:54" s="18" customFormat="1" ht="14.25">
      <c r="A324" s="20"/>
      <c r="B324" s="174"/>
      <c r="C324" s="36"/>
      <c r="BB324" s="509"/>
    </row>
    <row r="325" spans="1:54" s="18" customFormat="1" ht="14.25">
      <c r="A325" s="20"/>
      <c r="B325" s="174"/>
      <c r="C325" s="36"/>
      <c r="BB325" s="509"/>
    </row>
    <row r="326" spans="1:54" s="18" customFormat="1" ht="14.25">
      <c r="A326" s="20"/>
      <c r="B326" s="174"/>
      <c r="C326" s="36"/>
      <c r="BB326" s="509"/>
    </row>
    <row r="327" spans="1:54" s="18" customFormat="1" ht="14.25">
      <c r="A327" s="20"/>
      <c r="B327" s="174"/>
      <c r="C327" s="36"/>
      <c r="BB327" s="509"/>
    </row>
    <row r="328" spans="1:54" s="18" customFormat="1" ht="14.25">
      <c r="A328" s="20"/>
      <c r="B328" s="174"/>
      <c r="C328" s="36"/>
      <c r="BB328" s="509"/>
    </row>
    <row r="329" spans="1:54" s="18" customFormat="1" ht="14.25">
      <c r="A329" s="20"/>
      <c r="B329" s="174"/>
      <c r="C329" s="36"/>
      <c r="BB329" s="509"/>
    </row>
    <row r="330" spans="1:54" s="18" customFormat="1" ht="14.25">
      <c r="A330" s="20"/>
      <c r="B330" s="174"/>
      <c r="C330" s="36"/>
      <c r="BB330" s="509"/>
    </row>
    <row r="332" spans="1:54" ht="9" customHeight="1"/>
    <row r="333" spans="1:54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4" ht="10.5" customHeight="1"/>
    <row r="356" spans="1:54" ht="6" customHeight="1"/>
    <row r="357" spans="1:54" s="18" customFormat="1" ht="14.25">
      <c r="A357" s="20"/>
      <c r="B357" s="174"/>
      <c r="C357" s="36"/>
      <c r="BB357" s="509"/>
    </row>
    <row r="358" spans="1:54" s="19" customFormat="1" ht="12.75">
      <c r="A358" s="20"/>
      <c r="B358" s="209"/>
      <c r="C358" s="37"/>
      <c r="BB358" s="511"/>
    </row>
    <row r="359" spans="1:54" s="18" customFormat="1" ht="14.25">
      <c r="A359" s="20"/>
      <c r="B359" s="174"/>
      <c r="C359" s="36"/>
      <c r="BB359" s="509"/>
    </row>
    <row r="360" spans="1:54" s="18" customFormat="1" ht="14.25">
      <c r="A360" s="20"/>
      <c r="B360" s="174"/>
      <c r="C360" s="36"/>
      <c r="BB360" s="509"/>
    </row>
    <row r="361" spans="1:54" s="18" customFormat="1" ht="14.25">
      <c r="A361" s="20"/>
      <c r="B361" s="174"/>
      <c r="C361" s="36"/>
      <c r="BB361" s="509"/>
    </row>
    <row r="362" spans="1:54" s="18" customFormat="1" ht="14.25">
      <c r="A362" s="20"/>
      <c r="B362" s="174"/>
      <c r="C362" s="36"/>
      <c r="BB362" s="509"/>
    </row>
    <row r="363" spans="1:54" s="18" customFormat="1" ht="14.25">
      <c r="A363" s="20"/>
      <c r="B363" s="174"/>
      <c r="C363" s="36"/>
      <c r="BB363" s="509"/>
    </row>
    <row r="364" spans="1:54" s="18" customFormat="1" ht="14.25">
      <c r="A364" s="20"/>
      <c r="B364" s="174"/>
      <c r="C364" s="36"/>
      <c r="BB364" s="509"/>
    </row>
    <row r="365" spans="1:54" s="18" customFormat="1" ht="14.25">
      <c r="A365" s="20"/>
      <c r="B365" s="174"/>
      <c r="C365" s="36"/>
      <c r="BB365" s="509"/>
    </row>
    <row r="366" spans="1:54" s="18" customFormat="1" ht="14.25">
      <c r="A366" s="20"/>
      <c r="B366" s="174"/>
      <c r="C366" s="36"/>
      <c r="BB366" s="509"/>
    </row>
    <row r="367" spans="1:54" s="18" customFormat="1" ht="14.25">
      <c r="A367" s="20"/>
      <c r="B367" s="174"/>
      <c r="C367" s="36"/>
      <c r="BB367" s="509"/>
    </row>
    <row r="368" spans="1:54" s="18" customFormat="1" ht="14.25">
      <c r="A368" s="20"/>
      <c r="B368" s="174"/>
      <c r="C368" s="36"/>
      <c r="BB368" s="509"/>
    </row>
    <row r="369" spans="1:54" s="18" customFormat="1" ht="14.25">
      <c r="A369" s="20"/>
      <c r="B369" s="174"/>
      <c r="C369" s="36"/>
      <c r="BB369" s="509"/>
    </row>
    <row r="370" spans="1:54" s="18" customFormat="1" ht="14.25">
      <c r="A370" s="20"/>
      <c r="B370" s="174"/>
      <c r="C370" s="36"/>
      <c r="BB370" s="509"/>
    </row>
    <row r="371" spans="1:54" s="18" customFormat="1" ht="14.25">
      <c r="A371" s="20"/>
      <c r="B371" s="174"/>
      <c r="C371" s="36"/>
      <c r="BB371" s="509"/>
    </row>
    <row r="372" spans="1:54" s="18" customFormat="1" ht="14.25">
      <c r="A372" s="20"/>
      <c r="B372" s="174"/>
      <c r="C372" s="36"/>
      <c r="BB372" s="509"/>
    </row>
    <row r="373" spans="1:54" s="18" customFormat="1" ht="14.25">
      <c r="A373" s="20"/>
      <c r="B373" s="174"/>
      <c r="C373" s="36"/>
      <c r="BB373" s="509"/>
    </row>
    <row r="374" spans="1:54" s="18" customFormat="1" ht="14.25">
      <c r="A374" s="20"/>
      <c r="B374" s="174"/>
      <c r="C374" s="36"/>
      <c r="BB374" s="509"/>
    </row>
    <row r="375" spans="1:54" s="18" customFormat="1" ht="14.25">
      <c r="A375" s="20"/>
      <c r="B375" s="174"/>
      <c r="C375" s="36"/>
      <c r="BB375" s="509"/>
    </row>
    <row r="376" spans="1:54" s="18" customFormat="1" ht="14.25">
      <c r="A376" s="20"/>
      <c r="B376" s="174"/>
      <c r="C376" s="36"/>
      <c r="BB376" s="509"/>
    </row>
    <row r="377" spans="1:54" s="18" customFormat="1" ht="14.25">
      <c r="A377" s="20"/>
      <c r="B377" s="174"/>
      <c r="C377" s="36"/>
      <c r="BB377" s="509"/>
    </row>
    <row r="378" spans="1:54" s="18" customFormat="1" ht="14.25">
      <c r="A378" s="20"/>
      <c r="B378" s="174"/>
      <c r="C378" s="36"/>
      <c r="BB378" s="509"/>
    </row>
    <row r="379" spans="1:54" s="18" customFormat="1" ht="14.25">
      <c r="A379" s="20"/>
      <c r="B379" s="174"/>
      <c r="C379" s="36"/>
      <c r="BB379" s="509"/>
    </row>
    <row r="380" spans="1:54" s="18" customFormat="1" ht="14.25">
      <c r="A380" s="20"/>
      <c r="B380" s="174"/>
      <c r="C380" s="36"/>
      <c r="BB380" s="509"/>
    </row>
    <row r="381" spans="1:54" s="18" customFormat="1" ht="14.25">
      <c r="A381" s="20"/>
      <c r="B381" s="174"/>
      <c r="C381" s="36"/>
      <c r="BB381" s="509"/>
    </row>
    <row r="382" spans="1:54" s="18" customFormat="1" ht="14.25">
      <c r="A382" s="20"/>
      <c r="B382" s="174"/>
      <c r="C382" s="36"/>
      <c r="BB382" s="509"/>
    </row>
    <row r="383" spans="1:54" s="18" customFormat="1" ht="14.25">
      <c r="A383" s="20"/>
      <c r="B383" s="174"/>
      <c r="C383" s="36"/>
      <c r="BB383" s="509"/>
    </row>
    <row r="384" spans="1:54" s="18" customFormat="1" ht="14.25">
      <c r="A384" s="20"/>
      <c r="B384" s="174"/>
      <c r="C384" s="36"/>
      <c r="BB384" s="509"/>
    </row>
    <row r="385" spans="1:54" s="18" customFormat="1" ht="14.25">
      <c r="A385" s="20"/>
      <c r="B385" s="174"/>
      <c r="C385" s="36"/>
      <c r="BB385" s="509"/>
    </row>
    <row r="386" spans="1:54" s="18" customFormat="1" ht="14.25">
      <c r="A386" s="20"/>
      <c r="B386" s="174"/>
      <c r="C386" s="36"/>
      <c r="BB386" s="509"/>
    </row>
    <row r="387" spans="1:54" ht="9" customHeight="1"/>
    <row r="388" spans="1:54" ht="9" customHeight="1"/>
    <row r="392" spans="1:54" ht="9.75" customHeight="1"/>
    <row r="394" spans="1:54" ht="8.25" customHeight="1"/>
    <row r="395" spans="1:54" ht="16.5" customHeight="1"/>
    <row r="396" spans="1:54" ht="16.5" customHeight="1"/>
    <row r="398" spans="1:54" ht="9.75" customHeight="1"/>
    <row r="399" spans="1:54" ht="9.75" customHeight="1"/>
    <row r="400" spans="1:54" ht="9.75" customHeight="1"/>
    <row r="401" spans="1:54" ht="9.75" customHeight="1"/>
    <row r="408" spans="1:54" ht="10.5" customHeight="1"/>
    <row r="410" spans="1:54" ht="6" customHeight="1"/>
    <row r="411" spans="1:54" s="18" customFormat="1" ht="14.25">
      <c r="A411" s="20"/>
      <c r="B411" s="174"/>
      <c r="C411" s="36"/>
      <c r="BB411" s="509"/>
    </row>
    <row r="412" spans="1:54" s="18" customFormat="1" ht="14.25">
      <c r="A412" s="20"/>
      <c r="B412" s="174"/>
      <c r="C412" s="36"/>
      <c r="BB412" s="509"/>
    </row>
    <row r="413" spans="1:54" s="18" customFormat="1" ht="14.25">
      <c r="A413" s="20"/>
      <c r="B413" s="174"/>
      <c r="C413" s="36"/>
      <c r="BB413" s="509"/>
    </row>
    <row r="414" spans="1:54" s="18" customFormat="1" ht="14.25">
      <c r="A414" s="20"/>
      <c r="B414" s="174"/>
      <c r="C414" s="36"/>
      <c r="BB414" s="509"/>
    </row>
    <row r="415" spans="1:54" s="18" customFormat="1" ht="14.25">
      <c r="A415" s="20"/>
      <c r="B415" s="174"/>
      <c r="C415" s="36"/>
      <c r="BB415" s="509"/>
    </row>
    <row r="416" spans="1:54" s="18" customFormat="1" ht="14.25">
      <c r="A416" s="20"/>
      <c r="B416" s="174"/>
      <c r="C416" s="36"/>
      <c r="BB416" s="509"/>
    </row>
    <row r="417" spans="1:54" s="18" customFormat="1" ht="14.25">
      <c r="A417" s="20"/>
      <c r="B417" s="174"/>
      <c r="C417" s="36"/>
      <c r="BB417" s="509"/>
    </row>
    <row r="418" spans="1:54" s="18" customFormat="1" ht="14.25">
      <c r="A418" s="20"/>
      <c r="B418" s="174"/>
      <c r="C418" s="36"/>
      <c r="BB418" s="509"/>
    </row>
    <row r="419" spans="1:54" s="18" customFormat="1" ht="14.25">
      <c r="A419" s="20"/>
      <c r="B419" s="174"/>
      <c r="C419" s="36"/>
      <c r="BB419" s="509"/>
    </row>
    <row r="420" spans="1:54" s="18" customFormat="1" ht="14.25">
      <c r="A420" s="20"/>
      <c r="B420" s="174"/>
      <c r="C420" s="36"/>
      <c r="BB420" s="509"/>
    </row>
    <row r="421" spans="1:54" s="18" customFormat="1" ht="14.25">
      <c r="A421" s="20"/>
      <c r="B421" s="174"/>
      <c r="C421" s="36"/>
      <c r="BB421" s="509"/>
    </row>
    <row r="422" spans="1:54" s="18" customFormat="1" ht="14.25">
      <c r="A422" s="20"/>
      <c r="B422" s="174"/>
      <c r="C422" s="36"/>
      <c r="BB422" s="509"/>
    </row>
    <row r="423" spans="1:54" s="18" customFormat="1" ht="14.25">
      <c r="A423" s="20"/>
      <c r="B423" s="174"/>
      <c r="C423" s="36"/>
      <c r="BB423" s="509"/>
    </row>
    <row r="424" spans="1:54" s="18" customFormat="1" ht="14.25">
      <c r="A424" s="20"/>
      <c r="B424" s="174"/>
      <c r="C424" s="36"/>
      <c r="BB424" s="509"/>
    </row>
    <row r="425" spans="1:54" s="18" customFormat="1" ht="14.25">
      <c r="A425" s="20"/>
      <c r="B425" s="174"/>
      <c r="C425" s="36"/>
      <c r="BB425" s="509"/>
    </row>
    <row r="426" spans="1:54" s="18" customFormat="1" ht="14.25">
      <c r="A426" s="20"/>
      <c r="B426" s="174"/>
      <c r="C426" s="36"/>
      <c r="BB426" s="509"/>
    </row>
    <row r="427" spans="1:54" s="18" customFormat="1" ht="14.25">
      <c r="A427" s="20"/>
      <c r="B427" s="174"/>
      <c r="C427" s="36"/>
      <c r="BB427" s="509"/>
    </row>
    <row r="428" spans="1:54" s="18" customFormat="1" ht="14.25">
      <c r="A428" s="20"/>
      <c r="B428" s="174"/>
      <c r="C428" s="36"/>
      <c r="BB428" s="509"/>
    </row>
    <row r="429" spans="1:54" s="18" customFormat="1" ht="14.25">
      <c r="A429" s="20"/>
      <c r="B429" s="174"/>
      <c r="C429" s="36"/>
      <c r="BB429" s="509"/>
    </row>
    <row r="430" spans="1:54" s="18" customFormat="1" ht="14.25">
      <c r="A430" s="20"/>
      <c r="B430" s="174"/>
      <c r="C430" s="36"/>
      <c r="BB430" s="509"/>
    </row>
    <row r="431" spans="1:54" s="18" customFormat="1" ht="14.25">
      <c r="A431" s="20"/>
      <c r="B431" s="174"/>
      <c r="C431" s="36"/>
      <c r="BB431" s="509"/>
    </row>
    <row r="432" spans="1:54" s="18" customFormat="1" ht="14.25">
      <c r="A432" s="20"/>
      <c r="B432" s="174"/>
      <c r="C432" s="36"/>
      <c r="BB432" s="509"/>
    </row>
    <row r="433" spans="1:54" s="18" customFormat="1" ht="14.25">
      <c r="A433" s="20"/>
      <c r="B433" s="174"/>
      <c r="C433" s="36"/>
      <c r="BB433" s="509"/>
    </row>
    <row r="434" spans="1:54" s="18" customFormat="1" ht="14.25">
      <c r="A434" s="20"/>
      <c r="B434" s="174"/>
      <c r="C434" s="36"/>
      <c r="BB434" s="509"/>
    </row>
    <row r="435" spans="1:54" s="18" customFormat="1" ht="14.25">
      <c r="A435" s="20"/>
      <c r="B435" s="174"/>
      <c r="C435" s="36"/>
      <c r="BB435" s="509"/>
    </row>
    <row r="436" spans="1:54" s="18" customFormat="1" ht="14.25">
      <c r="A436" s="20"/>
      <c r="B436" s="174"/>
      <c r="C436" s="36"/>
      <c r="BB436" s="509"/>
    </row>
    <row r="437" spans="1:54" s="18" customFormat="1" ht="14.25">
      <c r="A437" s="20"/>
      <c r="B437" s="174"/>
      <c r="C437" s="36"/>
      <c r="BB437" s="509"/>
    </row>
    <row r="438" spans="1:54" s="18" customFormat="1" ht="14.25">
      <c r="A438" s="20"/>
      <c r="B438" s="174"/>
      <c r="C438" s="36"/>
      <c r="BB438" s="509"/>
    </row>
    <row r="439" spans="1:54" s="18" customFormat="1" ht="14.25">
      <c r="A439" s="20"/>
      <c r="B439" s="174"/>
      <c r="C439" s="36"/>
      <c r="BB439" s="509"/>
    </row>
    <row r="440" spans="1:54" s="18" customFormat="1" ht="9" customHeight="1">
      <c r="A440" s="20"/>
      <c r="B440" s="174"/>
      <c r="C440" s="36"/>
      <c r="BB440" s="509"/>
    </row>
    <row r="442" spans="1:54" ht="8.25" customHeight="1"/>
    <row r="443" spans="1:54" ht="16.5" customHeight="1"/>
  </sheetData>
  <sheetProtection algorithmName="SHA-512" hashValue="DXNSZXmJRb8wFauzDrDelqflDgBRlPg+27KPwVvcLY0lV5I/vOmUmu7Lf3OYUyY1KSHKEKB6cosfIurg5qoaHg==" saltValue="lkQhUBcZKdI//E7J9QHUOw==" spinCount="100000" sheet="1" objects="1" formatColumns="0" formatRows="0" insertHyperlinks="0"/>
  <mergeCells count="3">
    <mergeCell ref="E42:W42"/>
    <mergeCell ref="E4:Y4"/>
    <mergeCell ref="E41:Y41"/>
  </mergeCells>
  <phoneticPr fontId="35" type="noConversion"/>
  <conditionalFormatting sqref="E10:G14">
    <cfRule type="cellIs" priority="39" stopIfTrue="1" operator="between">
      <formula>-1000000000000</formula>
      <formula>1000000000000</formula>
    </cfRule>
    <cfRule type="cellIs" priority="40" stopIfTrue="1" operator="equal">
      <formula>"M"</formula>
    </cfRule>
    <cfRule type="cellIs" priority="41" stopIfTrue="1" operator="equal">
      <formula>"L"</formula>
    </cfRule>
  </conditionalFormatting>
  <conditionalFormatting sqref="H10:Y14">
    <cfRule type="cellIs" priority="29" stopIfTrue="1" operator="between">
      <formula>-1000000000000</formula>
      <formula>1000000000000</formula>
    </cfRule>
    <cfRule type="cellIs" priority="30" stopIfTrue="1" operator="equal">
      <formula>"M"</formula>
    </cfRule>
    <cfRule type="cellIs" priority="31" stopIfTrue="1" operator="equal">
      <formula>"L"</formula>
    </cfRule>
  </conditionalFormatting>
  <conditionalFormatting sqref="E20:V26 E18:V18 E31:Y32 X20:Y25 E35:Y35 X18:Y18 E10:Y14">
    <cfRule type="cellIs" dxfId="28" priority="13" operator="equal">
      <formula>""</formula>
    </cfRule>
  </conditionalFormatting>
  <conditionalFormatting sqref="W18 W20:W26">
    <cfRule type="cellIs" dxfId="27" priority="7" operator="equal">
      <formula>""</formula>
    </cfRule>
  </conditionalFormatting>
  <conditionalFormatting sqref="X26:Y26">
    <cfRule type="cellIs" dxfId="26" priority="2" operator="equal">
      <formula>""</formula>
    </cfRule>
  </conditionalFormatting>
  <conditionalFormatting sqref="E41">
    <cfRule type="expression" dxfId="25" priority="1" stopIfTrue="1">
      <formula>(COUNTA(E10:AM14,E18:AM18,E20:AM26,E31:AM32,E35:AM35)/316)*100&lt;&gt;100</formula>
    </cfRule>
  </conditionalFormatting>
  <dataValidations xWindow="1125" yWindow="502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Y8 E16:Y16">
      <formula1>$AB$1:$AB$3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BB120"/>
  <sheetViews>
    <sheetView showGridLines="0" defaultGridColor="0" topLeftCell="B1" colorId="22" zoomScale="85" zoomScaleNormal="85" zoomScaleSheetLayoutView="80" workbookViewId="0"/>
  </sheetViews>
  <sheetFormatPr defaultColWidth="9.77734375" defaultRowHeight="15"/>
  <cols>
    <col min="1" max="1" width="22.109375" style="20" hidden="1" customWidth="1"/>
    <col min="2" max="2" width="39.6640625" style="207" customWidth="1"/>
    <col min="3" max="3" width="87.109375" style="25" customWidth="1"/>
    <col min="4" max="24" width="12.77734375" style="10" customWidth="1"/>
    <col min="25" max="25" width="65.33203125" style="10" customWidth="1"/>
    <col min="26" max="26" width="5.33203125" style="10" customWidth="1"/>
    <col min="27" max="27" width="1" style="10" customWidth="1"/>
    <col min="28" max="28" width="2.5546875" style="10" customWidth="1"/>
    <col min="29" max="29" width="9.77734375" style="10"/>
    <col min="30" max="30" width="13.109375" style="10" customWidth="1"/>
    <col min="31" max="31" width="9.33203125" style="10" customWidth="1"/>
    <col min="32" max="53" width="9.77734375" style="10"/>
    <col min="54" max="54" width="9.77734375" style="283"/>
    <col min="55" max="16384" width="9.77734375" style="10"/>
  </cols>
  <sheetData>
    <row r="1" spans="1:54" ht="18">
      <c r="A1" s="284"/>
      <c r="B1" s="285"/>
      <c r="C1" s="293" t="s">
        <v>576</v>
      </c>
      <c r="D1" s="22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AB1" s="219" t="s">
        <v>454</v>
      </c>
      <c r="AC1" s="219" t="s">
        <v>1014</v>
      </c>
      <c r="AD1" s="219">
        <v>3</v>
      </c>
      <c r="AE1" s="219">
        <v>4</v>
      </c>
      <c r="AF1" s="219">
        <v>5</v>
      </c>
      <c r="AG1" s="219">
        <v>6</v>
      </c>
      <c r="AH1" s="219">
        <v>7</v>
      </c>
      <c r="AI1" s="219">
        <f>AH1+1</f>
        <v>8</v>
      </c>
      <c r="AJ1" s="219">
        <f t="shared" ref="AJ1:AT1" si="0">AI1+1</f>
        <v>9</v>
      </c>
      <c r="AK1" s="219">
        <f t="shared" si="0"/>
        <v>10</v>
      </c>
      <c r="AL1" s="219">
        <f t="shared" si="0"/>
        <v>11</v>
      </c>
      <c r="AM1" s="219">
        <f t="shared" si="0"/>
        <v>12</v>
      </c>
      <c r="AN1" s="219">
        <f t="shared" si="0"/>
        <v>13</v>
      </c>
      <c r="AO1" s="219">
        <f t="shared" si="0"/>
        <v>14</v>
      </c>
      <c r="AP1" s="219">
        <f t="shared" si="0"/>
        <v>15</v>
      </c>
      <c r="AQ1" s="219">
        <f t="shared" si="0"/>
        <v>16</v>
      </c>
      <c r="AR1" s="219">
        <f t="shared" si="0"/>
        <v>17</v>
      </c>
      <c r="AS1" s="219">
        <f t="shared" si="0"/>
        <v>18</v>
      </c>
      <c r="AT1" s="219">
        <f t="shared" si="0"/>
        <v>19</v>
      </c>
      <c r="AU1" s="219"/>
    </row>
    <row r="2" spans="1:54" ht="11.25" customHeight="1" thickBot="1">
      <c r="A2" s="284"/>
      <c r="B2" s="285"/>
      <c r="C2" s="294"/>
      <c r="D2" s="295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AA2" s="13"/>
      <c r="AB2" s="219" t="s">
        <v>455</v>
      </c>
      <c r="AC2" s="219">
        <f>IF($AC$1='Cover page'!$N$2,0,1)</f>
        <v>0</v>
      </c>
    </row>
    <row r="3" spans="1:54" ht="17.25" thickTop="1" thickBot="1">
      <c r="A3" s="286"/>
      <c r="B3" s="287"/>
      <c r="C3" s="296"/>
      <c r="D3" s="297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40"/>
      <c r="Z3" s="41"/>
      <c r="AA3" s="13"/>
      <c r="AB3" s="219" t="s">
        <v>456</v>
      </c>
      <c r="AC3" s="283"/>
    </row>
    <row r="4" spans="1:54" ht="16.5" thickBot="1">
      <c r="A4" s="234"/>
      <c r="B4" s="288"/>
      <c r="C4" s="224" t="str">
        <f>'Cover page'!E13</f>
        <v>Member State: Hungary</v>
      </c>
      <c r="D4" s="541" t="s">
        <v>2</v>
      </c>
      <c r="E4" s="542"/>
      <c r="F4" s="542"/>
      <c r="G4" s="542"/>
      <c r="H4" s="542"/>
      <c r="I4" s="542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542"/>
      <c r="V4" s="542"/>
      <c r="W4" s="542"/>
      <c r="X4" s="542"/>
      <c r="Y4" s="42"/>
      <c r="Z4" s="44"/>
      <c r="AB4" s="219" t="s">
        <v>457</v>
      </c>
      <c r="AC4" s="283"/>
      <c r="AE4" s="13"/>
    </row>
    <row r="5" spans="1:54" ht="15.75">
      <c r="A5" s="234"/>
      <c r="B5" s="235" t="s">
        <v>485</v>
      </c>
      <c r="C5" s="22" t="s">
        <v>1018</v>
      </c>
      <c r="D5" s="299">
        <f>'Table 1'!E5</f>
        <v>1995</v>
      </c>
      <c r="E5" s="299">
        <f>D5+1</f>
        <v>1996</v>
      </c>
      <c r="F5" s="299">
        <f t="shared" ref="F5:I5" si="1">E5+1</f>
        <v>1997</v>
      </c>
      <c r="G5" s="299">
        <f t="shared" si="1"/>
        <v>1998</v>
      </c>
      <c r="H5" s="299">
        <f t="shared" si="1"/>
        <v>1999</v>
      </c>
      <c r="I5" s="299">
        <f t="shared" si="1"/>
        <v>2000</v>
      </c>
      <c r="J5" s="299">
        <f t="shared" ref="J5" si="2">I5+1</f>
        <v>2001</v>
      </c>
      <c r="K5" s="299">
        <f t="shared" ref="K5" si="3">J5+1</f>
        <v>2002</v>
      </c>
      <c r="L5" s="299">
        <f t="shared" ref="L5" si="4">K5+1</f>
        <v>2003</v>
      </c>
      <c r="M5" s="299">
        <f t="shared" ref="M5" si="5">L5+1</f>
        <v>2004</v>
      </c>
      <c r="N5" s="299">
        <f t="shared" ref="N5" si="6">M5+1</f>
        <v>2005</v>
      </c>
      <c r="O5" s="299">
        <f t="shared" ref="O5" si="7">N5+1</f>
        <v>2006</v>
      </c>
      <c r="P5" s="299">
        <f t="shared" ref="P5" si="8">O5+1</f>
        <v>2007</v>
      </c>
      <c r="Q5" s="299">
        <f t="shared" ref="Q5" si="9">P5+1</f>
        <v>2008</v>
      </c>
      <c r="R5" s="299">
        <f t="shared" ref="R5" si="10">Q5+1</f>
        <v>2009</v>
      </c>
      <c r="S5" s="299">
        <f t="shared" ref="S5" si="11">R5+1</f>
        <v>2010</v>
      </c>
      <c r="T5" s="299">
        <f t="shared" ref="T5" si="12">S5+1</f>
        <v>2011</v>
      </c>
      <c r="U5" s="299">
        <f t="shared" ref="U5" si="13">T5+1</f>
        <v>2012</v>
      </c>
      <c r="V5" s="299">
        <f t="shared" ref="V5:X5" si="14">U5+1</f>
        <v>2013</v>
      </c>
      <c r="W5" s="299">
        <f t="shared" si="14"/>
        <v>2014</v>
      </c>
      <c r="X5" s="299">
        <f t="shared" si="14"/>
        <v>2015</v>
      </c>
      <c r="Y5" s="45"/>
      <c r="Z5" s="44"/>
      <c r="AE5" s="13"/>
    </row>
    <row r="6" spans="1:54" ht="15.75">
      <c r="A6" s="234"/>
      <c r="B6" s="288"/>
      <c r="C6" s="238" t="str">
        <f>'Cover page'!E14</f>
        <v>Date: 09/04/2020</v>
      </c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1"/>
      <c r="W6" s="301"/>
      <c r="X6" s="301"/>
      <c r="Y6" s="47"/>
      <c r="Z6" s="44"/>
      <c r="AE6" s="13"/>
    </row>
    <row r="7" spans="1:54" ht="10.5" customHeight="1" thickBot="1">
      <c r="A7" s="234"/>
      <c r="B7" s="289"/>
      <c r="C7" s="29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512"/>
      <c r="W7" s="512"/>
      <c r="X7" s="512"/>
      <c r="Y7" s="33"/>
      <c r="Z7" s="44"/>
      <c r="AE7" s="13"/>
    </row>
    <row r="8" spans="1:54" ht="17.25" thickTop="1" thickBot="1">
      <c r="A8" s="290" t="s">
        <v>196</v>
      </c>
      <c r="B8" s="414" t="s">
        <v>687</v>
      </c>
      <c r="C8" s="306" t="s">
        <v>65</v>
      </c>
      <c r="D8" s="84">
        <v>-133890</v>
      </c>
      <c r="E8" s="85">
        <v>77085</v>
      </c>
      <c r="F8" s="85">
        <v>-177617</v>
      </c>
      <c r="G8" s="85">
        <v>-540191</v>
      </c>
      <c r="H8" s="85">
        <v>-328319</v>
      </c>
      <c r="I8" s="85">
        <v>-367790</v>
      </c>
      <c r="J8" s="85">
        <v>-402941</v>
      </c>
      <c r="K8" s="85">
        <v>-1469610</v>
      </c>
      <c r="L8" s="85">
        <v>-732419</v>
      </c>
      <c r="M8" s="85">
        <v>-904520</v>
      </c>
      <c r="N8" s="85">
        <v>-547801</v>
      </c>
      <c r="O8" s="85">
        <v>-1961632</v>
      </c>
      <c r="P8" s="85">
        <v>-1398117</v>
      </c>
      <c r="Q8" s="85">
        <v>-869962</v>
      </c>
      <c r="R8" s="85">
        <v>-743718</v>
      </c>
      <c r="S8" s="85">
        <v>-794088</v>
      </c>
      <c r="T8" s="85">
        <v>-1657935</v>
      </c>
      <c r="U8" s="85">
        <v>-481082</v>
      </c>
      <c r="V8" s="418">
        <v>-933577</v>
      </c>
      <c r="W8" s="418">
        <v>-810966.5</v>
      </c>
      <c r="X8" s="418">
        <v>-1211646.8999999999</v>
      </c>
      <c r="Y8" s="1"/>
      <c r="Z8" s="49"/>
      <c r="AE8" s="13"/>
      <c r="BB8" s="283" t="str">
        <f>CountryCode &amp; ".T2.WB.S1311.MNAC." &amp; RefVintage</f>
        <v>HU.T2.WB.S1311.MNAC.W.2020</v>
      </c>
    </row>
    <row r="9" spans="1:54" ht="16.5" thickTop="1">
      <c r="A9" s="290"/>
      <c r="B9" s="414"/>
      <c r="C9" s="307" t="s">
        <v>81</v>
      </c>
      <c r="D9" s="140" t="s">
        <v>454</v>
      </c>
      <c r="E9" s="140" t="s">
        <v>454</v>
      </c>
      <c r="F9" s="140" t="s">
        <v>454</v>
      </c>
      <c r="G9" s="140" t="s">
        <v>454</v>
      </c>
      <c r="H9" s="140" t="s">
        <v>454</v>
      </c>
      <c r="I9" s="140" t="s">
        <v>454</v>
      </c>
      <c r="J9" s="140" t="s">
        <v>454</v>
      </c>
      <c r="K9" s="140" t="s">
        <v>454</v>
      </c>
      <c r="L9" s="140" t="s">
        <v>454</v>
      </c>
      <c r="M9" s="140" t="s">
        <v>454</v>
      </c>
      <c r="N9" s="140" t="s">
        <v>454</v>
      </c>
      <c r="O9" s="140" t="s">
        <v>454</v>
      </c>
      <c r="P9" s="140" t="s">
        <v>454</v>
      </c>
      <c r="Q9" s="140" t="s">
        <v>456</v>
      </c>
      <c r="R9" s="140" t="s">
        <v>456</v>
      </c>
      <c r="S9" s="140" t="s">
        <v>456</v>
      </c>
      <c r="T9" s="140" t="s">
        <v>456</v>
      </c>
      <c r="U9" s="140" t="s">
        <v>456</v>
      </c>
      <c r="V9" s="140" t="s">
        <v>454</v>
      </c>
      <c r="W9" s="140" t="s">
        <v>454</v>
      </c>
      <c r="X9" s="140" t="s">
        <v>454</v>
      </c>
      <c r="Y9" s="2"/>
      <c r="Z9" s="50"/>
      <c r="AE9" s="13"/>
    </row>
    <row r="10" spans="1:54" ht="11.25" customHeight="1">
      <c r="A10" s="290"/>
      <c r="B10" s="414"/>
      <c r="C10" s="160"/>
      <c r="D10" s="506">
        <f t="shared" ref="D10:Q10" si="15">IFERROR(VLOOKUP(D9,StatusTable,2,FALSE), -1)</f>
        <v>10</v>
      </c>
      <c r="E10" s="507">
        <f t="shared" si="15"/>
        <v>10</v>
      </c>
      <c r="F10" s="507">
        <f t="shared" si="15"/>
        <v>10</v>
      </c>
      <c r="G10" s="507">
        <f t="shared" si="15"/>
        <v>10</v>
      </c>
      <c r="H10" s="507">
        <f t="shared" si="15"/>
        <v>10</v>
      </c>
      <c r="I10" s="507">
        <f t="shared" si="15"/>
        <v>10</v>
      </c>
      <c r="J10" s="507">
        <f t="shared" si="15"/>
        <v>10</v>
      </c>
      <c r="K10" s="507">
        <f t="shared" si="15"/>
        <v>10</v>
      </c>
      <c r="L10" s="507">
        <f t="shared" si="15"/>
        <v>10</v>
      </c>
      <c r="M10" s="507">
        <f t="shared" si="15"/>
        <v>10</v>
      </c>
      <c r="N10" s="507">
        <f t="shared" si="15"/>
        <v>10</v>
      </c>
      <c r="O10" s="507">
        <f t="shared" si="15"/>
        <v>10</v>
      </c>
      <c r="P10" s="507">
        <f t="shared" si="15"/>
        <v>10</v>
      </c>
      <c r="Q10" s="507">
        <f t="shared" si="15"/>
        <v>12</v>
      </c>
      <c r="R10" s="507">
        <f t="shared" ref="R10" si="16">IFERROR(VLOOKUP(R9,StatusTable,2,FALSE), -1)</f>
        <v>12</v>
      </c>
      <c r="S10" s="507">
        <f t="shared" ref="S10:W10" si="17">IFERROR(VLOOKUP(S9,StatusTable,2,FALSE), -1)</f>
        <v>12</v>
      </c>
      <c r="T10" s="507">
        <f t="shared" si="17"/>
        <v>12</v>
      </c>
      <c r="U10" s="507">
        <f t="shared" si="17"/>
        <v>12</v>
      </c>
      <c r="V10" s="507">
        <f t="shared" si="17"/>
        <v>10</v>
      </c>
      <c r="W10" s="507">
        <f t="shared" si="17"/>
        <v>10</v>
      </c>
      <c r="X10" s="507"/>
      <c r="Y10" s="118"/>
      <c r="Z10" s="50"/>
      <c r="AE10" s="13"/>
      <c r="BB10" s="283" t="str">
        <f>CountryCode &amp; ".T2.WB_STATUS.S1311.MNAC." &amp; RefVintage</f>
        <v>HU.T2.WB_STATUS.S1311.MNAC.W.2020</v>
      </c>
    </row>
    <row r="11" spans="1:54" ht="15.75">
      <c r="A11" s="290" t="s">
        <v>197</v>
      </c>
      <c r="B11" s="414" t="s">
        <v>688</v>
      </c>
      <c r="C11" s="308" t="s">
        <v>90</v>
      </c>
      <c r="D11" s="119">
        <v>-154251</v>
      </c>
      <c r="E11" s="119">
        <v>-208943</v>
      </c>
      <c r="F11" s="119">
        <v>-159567</v>
      </c>
      <c r="G11" s="119">
        <v>-19064</v>
      </c>
      <c r="H11" s="119">
        <v>-52376</v>
      </c>
      <c r="I11" s="119">
        <v>-83484</v>
      </c>
      <c r="J11" s="119">
        <v>-29945</v>
      </c>
      <c r="K11" s="119">
        <v>69117</v>
      </c>
      <c r="L11" s="119">
        <v>-22114</v>
      </c>
      <c r="M11" s="119">
        <v>4388</v>
      </c>
      <c r="N11" s="119">
        <v>-378922</v>
      </c>
      <c r="O11" s="119">
        <v>-1273</v>
      </c>
      <c r="P11" s="119">
        <v>68556</v>
      </c>
      <c r="Q11" s="119">
        <v>3560</v>
      </c>
      <c r="R11" s="119">
        <v>-12043</v>
      </c>
      <c r="S11" s="119">
        <v>-100501</v>
      </c>
      <c r="T11" s="119">
        <v>539417</v>
      </c>
      <c r="U11" s="119">
        <v>-35950</v>
      </c>
      <c r="V11" s="119">
        <v>-51908</v>
      </c>
      <c r="W11" s="119">
        <v>88489.902798999974</v>
      </c>
      <c r="X11" s="119">
        <v>-164043.87906400001</v>
      </c>
      <c r="Y11" s="120"/>
      <c r="Z11" s="50"/>
      <c r="AE11" s="13"/>
      <c r="BB11" s="283" t="str">
        <f>CountryCode &amp; ".T2.FT.S1311.MNAC." &amp; RefVintage</f>
        <v>HU.T2.FT.S1311.MNAC.W.2020</v>
      </c>
    </row>
    <row r="12" spans="1:54" ht="15.75">
      <c r="A12" s="290" t="s">
        <v>198</v>
      </c>
      <c r="B12" s="414" t="s">
        <v>689</v>
      </c>
      <c r="C12" s="309" t="s">
        <v>30</v>
      </c>
      <c r="D12" s="119">
        <v>36787</v>
      </c>
      <c r="E12" s="119">
        <v>12548</v>
      </c>
      <c r="F12" s="119">
        <v>23521</v>
      </c>
      <c r="G12" s="119">
        <v>9239</v>
      </c>
      <c r="H12" s="119">
        <v>13798</v>
      </c>
      <c r="I12" s="119">
        <v>16794</v>
      </c>
      <c r="J12" s="119">
        <v>20492</v>
      </c>
      <c r="K12" s="119">
        <v>12484</v>
      </c>
      <c r="L12" s="119">
        <v>17933</v>
      </c>
      <c r="M12" s="119">
        <v>20941</v>
      </c>
      <c r="N12" s="119">
        <v>30360</v>
      </c>
      <c r="O12" s="119">
        <v>15022</v>
      </c>
      <c r="P12" s="119">
        <v>19422</v>
      </c>
      <c r="Q12" s="119">
        <v>20182</v>
      </c>
      <c r="R12" s="119">
        <v>21344</v>
      </c>
      <c r="S12" s="119">
        <v>19188</v>
      </c>
      <c r="T12" s="119">
        <v>25445</v>
      </c>
      <c r="U12" s="119">
        <v>4653</v>
      </c>
      <c r="V12" s="119">
        <v>19911</v>
      </c>
      <c r="W12" s="119">
        <v>10141</v>
      </c>
      <c r="X12" s="119">
        <v>20489.828000000001</v>
      </c>
      <c r="Y12" s="120" t="s">
        <v>35</v>
      </c>
      <c r="Z12" s="50"/>
      <c r="AE12" s="13"/>
      <c r="BB12" s="283" t="str">
        <f>CountryCode &amp; ".T2.F4ACQ.S1311.MNAC." &amp; RefVintage</f>
        <v>HU.T2.F4ACQ.S1311.MNAC.W.2020</v>
      </c>
    </row>
    <row r="13" spans="1:54" ht="15.75">
      <c r="A13" s="290" t="s">
        <v>199</v>
      </c>
      <c r="B13" s="414" t="s">
        <v>690</v>
      </c>
      <c r="C13" s="310" t="s">
        <v>31</v>
      </c>
      <c r="D13" s="119">
        <v>-46402</v>
      </c>
      <c r="E13" s="119">
        <v>-52602</v>
      </c>
      <c r="F13" s="119">
        <v>-67157</v>
      </c>
      <c r="G13" s="119">
        <v>-52128</v>
      </c>
      <c r="H13" s="119">
        <v>-34996</v>
      </c>
      <c r="I13" s="119">
        <v>-83437</v>
      </c>
      <c r="J13" s="119">
        <v>-26473</v>
      </c>
      <c r="K13" s="119">
        <v>-25090</v>
      </c>
      <c r="L13" s="119">
        <v>-43719</v>
      </c>
      <c r="M13" s="119">
        <v>-30346</v>
      </c>
      <c r="N13" s="119">
        <v>-18715</v>
      </c>
      <c r="O13" s="119">
        <v>-19872</v>
      </c>
      <c r="P13" s="119">
        <v>-10609</v>
      </c>
      <c r="Q13" s="119">
        <v>-16033</v>
      </c>
      <c r="R13" s="119">
        <v>-6746</v>
      </c>
      <c r="S13" s="119">
        <v>-9128</v>
      </c>
      <c r="T13" s="119">
        <v>-8911</v>
      </c>
      <c r="U13" s="119">
        <v>-6214</v>
      </c>
      <c r="V13" s="119">
        <v>-12677</v>
      </c>
      <c r="W13" s="119">
        <v>-17098.186999999998</v>
      </c>
      <c r="X13" s="119">
        <v>-10714.539999999999</v>
      </c>
      <c r="Y13" s="120"/>
      <c r="Z13" s="50"/>
      <c r="AE13" s="13"/>
      <c r="BB13" s="283" t="str">
        <f>CountryCode &amp; ".T2.F4DIS.S1311.MNAC." &amp; RefVintage</f>
        <v>HU.T2.F4DIS.S1311.MNAC.W.2020</v>
      </c>
    </row>
    <row r="14" spans="1:54" ht="26.25">
      <c r="A14" s="290" t="s">
        <v>200</v>
      </c>
      <c r="B14" s="414" t="s">
        <v>691</v>
      </c>
      <c r="C14" s="310" t="s">
        <v>32</v>
      </c>
      <c r="D14" s="119">
        <v>13360</v>
      </c>
      <c r="E14" s="119">
        <v>62191</v>
      </c>
      <c r="F14" s="119">
        <v>25728</v>
      </c>
      <c r="G14" s="119">
        <v>49248</v>
      </c>
      <c r="H14" s="119">
        <v>12252</v>
      </c>
      <c r="I14" s="119">
        <v>7614</v>
      </c>
      <c r="J14" s="119">
        <v>10996</v>
      </c>
      <c r="K14" s="119">
        <v>107849</v>
      </c>
      <c r="L14" s="119">
        <v>5247</v>
      </c>
      <c r="M14" s="119">
        <v>8496</v>
      </c>
      <c r="N14" s="119">
        <v>8056</v>
      </c>
      <c r="O14" s="119">
        <v>17264</v>
      </c>
      <c r="P14" s="119">
        <v>25067</v>
      </c>
      <c r="Q14" s="119">
        <v>21561</v>
      </c>
      <c r="R14" s="119">
        <v>38618</v>
      </c>
      <c r="S14" s="119">
        <v>1437</v>
      </c>
      <c r="T14" s="119">
        <v>557577</v>
      </c>
      <c r="U14" s="119">
        <v>9519</v>
      </c>
      <c r="V14" s="119">
        <v>113652</v>
      </c>
      <c r="W14" s="119">
        <v>179623.462</v>
      </c>
      <c r="X14" s="119">
        <v>18764.375</v>
      </c>
      <c r="Y14" s="527" t="s">
        <v>1148</v>
      </c>
      <c r="Z14" s="50"/>
      <c r="AE14" s="13"/>
      <c r="BB14" s="283" t="str">
        <f>CountryCode &amp; ".T2.F5ACQ.S1311.MNAC." &amp; RefVintage</f>
        <v>HU.T2.F5ACQ.S1311.MNAC.W.2020</v>
      </c>
    </row>
    <row r="15" spans="1:54" ht="15.75">
      <c r="A15" s="290" t="s">
        <v>201</v>
      </c>
      <c r="B15" s="414" t="s">
        <v>692</v>
      </c>
      <c r="C15" s="311" t="s">
        <v>33</v>
      </c>
      <c r="D15" s="119">
        <v>-150014</v>
      </c>
      <c r="E15" s="119">
        <v>-228527</v>
      </c>
      <c r="F15" s="119">
        <v>-173248</v>
      </c>
      <c r="G15" s="119">
        <v>-67645</v>
      </c>
      <c r="H15" s="119">
        <v>-73727</v>
      </c>
      <c r="I15" s="119">
        <v>-21055</v>
      </c>
      <c r="J15" s="119">
        <v>-29736</v>
      </c>
      <c r="K15" s="119">
        <v>-23523</v>
      </c>
      <c r="L15" s="119">
        <v>-580</v>
      </c>
      <c r="M15" s="119">
        <v>-223</v>
      </c>
      <c r="N15" s="119">
        <v>-401919</v>
      </c>
      <c r="O15" s="119">
        <v>-2258</v>
      </c>
      <c r="P15" s="119">
        <v>-7921</v>
      </c>
      <c r="Q15" s="119">
        <v>-30740</v>
      </c>
      <c r="R15" s="119">
        <v>-16270</v>
      </c>
      <c r="S15" s="119">
        <v>-1930</v>
      </c>
      <c r="T15" s="119">
        <v>-1195</v>
      </c>
      <c r="U15" s="119">
        <v>-76</v>
      </c>
      <c r="V15" s="119">
        <v>-25846</v>
      </c>
      <c r="W15" s="119">
        <v>-97.713000000003376</v>
      </c>
      <c r="X15" s="119">
        <v>-91628.894</v>
      </c>
      <c r="Y15" s="528" t="s">
        <v>1149</v>
      </c>
      <c r="Z15" s="50"/>
      <c r="AE15" s="13"/>
      <c r="BB15" s="283" t="str">
        <f>CountryCode &amp; ".T2.F5DIS.S1311.MNAC." &amp; RefVintage</f>
        <v>HU.T2.F5DIS.S1311.MNAC.W.2020</v>
      </c>
    </row>
    <row r="16" spans="1:54" ht="15.75">
      <c r="A16" s="290" t="s">
        <v>202</v>
      </c>
      <c r="B16" s="414" t="s">
        <v>693</v>
      </c>
      <c r="C16" s="218" t="s">
        <v>34</v>
      </c>
      <c r="D16" s="216">
        <v>-7982</v>
      </c>
      <c r="E16" s="216">
        <v>-2553</v>
      </c>
      <c r="F16" s="216">
        <v>31589</v>
      </c>
      <c r="G16" s="216">
        <v>42222</v>
      </c>
      <c r="H16" s="216">
        <v>30297</v>
      </c>
      <c r="I16" s="216">
        <v>-3400</v>
      </c>
      <c r="J16" s="216">
        <v>-5224</v>
      </c>
      <c r="K16" s="216">
        <v>-2603</v>
      </c>
      <c r="L16" s="216">
        <v>-995</v>
      </c>
      <c r="M16" s="216">
        <v>5520</v>
      </c>
      <c r="N16" s="216">
        <v>3296</v>
      </c>
      <c r="O16" s="216">
        <v>-11429</v>
      </c>
      <c r="P16" s="216">
        <v>42597</v>
      </c>
      <c r="Q16" s="216">
        <v>8590</v>
      </c>
      <c r="R16" s="216">
        <v>-48989</v>
      </c>
      <c r="S16" s="216">
        <v>-110068</v>
      </c>
      <c r="T16" s="216">
        <v>-33499</v>
      </c>
      <c r="U16" s="216">
        <v>-43832</v>
      </c>
      <c r="V16" s="216">
        <v>-146948</v>
      </c>
      <c r="W16" s="216">
        <v>-84078.659201000002</v>
      </c>
      <c r="X16" s="216">
        <v>-100954.64806400001</v>
      </c>
      <c r="Y16" s="120"/>
      <c r="Z16" s="50"/>
      <c r="AE16" s="13"/>
      <c r="BB16" s="283" t="str">
        <f>CountryCode &amp; ".T2.OFT.S1311.MNAC." &amp; RefVintage</f>
        <v>HU.T2.OFT.S1311.MNAC.W.2020</v>
      </c>
    </row>
    <row r="17" spans="1:54" ht="16.5" thickBot="1">
      <c r="A17" s="290" t="s">
        <v>203</v>
      </c>
      <c r="B17" s="414" t="s">
        <v>694</v>
      </c>
      <c r="C17" s="217" t="s">
        <v>513</v>
      </c>
      <c r="D17" s="216" t="s">
        <v>1147</v>
      </c>
      <c r="E17" s="216" t="s">
        <v>1147</v>
      </c>
      <c r="F17" s="216" t="s">
        <v>1147</v>
      </c>
      <c r="G17" s="216" t="s">
        <v>1147</v>
      </c>
      <c r="H17" s="216" t="s">
        <v>1147</v>
      </c>
      <c r="I17" s="216" t="s">
        <v>1147</v>
      </c>
      <c r="J17" s="216" t="s">
        <v>1147</v>
      </c>
      <c r="K17" s="216" t="s">
        <v>1147</v>
      </c>
      <c r="L17" s="216" t="s">
        <v>1147</v>
      </c>
      <c r="M17" s="216" t="s">
        <v>1147</v>
      </c>
      <c r="N17" s="216" t="s">
        <v>1147</v>
      </c>
      <c r="O17" s="216" t="s">
        <v>1147</v>
      </c>
      <c r="P17" s="216" t="s">
        <v>1147</v>
      </c>
      <c r="Q17" s="216">
        <v>0</v>
      </c>
      <c r="R17" s="216">
        <v>0</v>
      </c>
      <c r="S17" s="216">
        <v>0</v>
      </c>
      <c r="T17" s="216">
        <v>0</v>
      </c>
      <c r="U17" s="216">
        <v>0</v>
      </c>
      <c r="V17" s="216">
        <v>0</v>
      </c>
      <c r="W17" s="216" t="s">
        <v>1147</v>
      </c>
      <c r="X17" s="216" t="s">
        <v>1147</v>
      </c>
      <c r="Y17" s="120"/>
      <c r="Z17" s="50"/>
      <c r="AE17" s="13"/>
      <c r="BB17" s="283" t="str">
        <f>CountryCode &amp; ".T2.OFTDL.S1311.MNAC." &amp; RefVintage</f>
        <v>HU.T2.OFTDL.S1311.MNAC.W.2020</v>
      </c>
    </row>
    <row r="18" spans="1:54" ht="16.5" thickBot="1">
      <c r="A18" s="291" t="s">
        <v>486</v>
      </c>
      <c r="B18" s="414" t="s">
        <v>695</v>
      </c>
      <c r="C18" s="217" t="s">
        <v>514</v>
      </c>
      <c r="D18" s="216">
        <v>0</v>
      </c>
      <c r="E18" s="216">
        <v>0</v>
      </c>
      <c r="F18" s="216">
        <v>29542</v>
      </c>
      <c r="G18" s="216">
        <v>39740</v>
      </c>
      <c r="H18" s="216">
        <v>31331</v>
      </c>
      <c r="I18" s="216">
        <v>-5976</v>
      </c>
      <c r="J18" s="216">
        <v>-4980</v>
      </c>
      <c r="K18" s="216">
        <v>-2149</v>
      </c>
      <c r="L18" s="216">
        <v>6635</v>
      </c>
      <c r="M18" s="216">
        <v>3700</v>
      </c>
      <c r="N18" s="216">
        <v>-2166</v>
      </c>
      <c r="O18" s="216">
        <v>-12102</v>
      </c>
      <c r="P18" s="216">
        <v>5037</v>
      </c>
      <c r="Q18" s="216">
        <v>10036</v>
      </c>
      <c r="R18" s="216">
        <v>20743</v>
      </c>
      <c r="S18" s="216">
        <v>-20868</v>
      </c>
      <c r="T18" s="216">
        <v>-24526</v>
      </c>
      <c r="U18" s="216">
        <v>-26623</v>
      </c>
      <c r="V18" s="216">
        <v>-53970</v>
      </c>
      <c r="W18" s="216">
        <v>-85748</v>
      </c>
      <c r="X18" s="216">
        <v>-120341</v>
      </c>
      <c r="Y18" s="120"/>
      <c r="Z18" s="50"/>
      <c r="AE18" s="13"/>
      <c r="BB18" s="283" t="str">
        <f>CountryCode &amp; ".T2.F71K.S1311.MNAC." &amp; RefVintage</f>
        <v>HU.T2.F71K.S1311.MNAC.W.2020</v>
      </c>
    </row>
    <row r="19" spans="1:54" ht="15.75">
      <c r="A19" s="159" t="s">
        <v>204</v>
      </c>
      <c r="B19" s="414" t="s">
        <v>696</v>
      </c>
      <c r="C19" s="129" t="s">
        <v>1020</v>
      </c>
      <c r="D19" s="121">
        <v>1848</v>
      </c>
      <c r="E19" s="121">
        <v>262</v>
      </c>
      <c r="F19" s="121">
        <v>-238</v>
      </c>
      <c r="G19" s="121">
        <v>-4</v>
      </c>
      <c r="H19" s="121">
        <v>-400</v>
      </c>
      <c r="I19" s="121">
        <v>1328</v>
      </c>
      <c r="J19" s="121">
        <v>-1661</v>
      </c>
      <c r="K19" s="121">
        <v>-1266</v>
      </c>
      <c r="L19" s="121">
        <v>-8062</v>
      </c>
      <c r="M19" s="121">
        <v>990</v>
      </c>
      <c r="N19" s="121">
        <v>4859</v>
      </c>
      <c r="O19" s="121">
        <v>-4662</v>
      </c>
      <c r="P19" s="121">
        <v>4252</v>
      </c>
      <c r="Q19" s="121">
        <v>-226</v>
      </c>
      <c r="R19" s="121">
        <v>-2432</v>
      </c>
      <c r="S19" s="121">
        <v>-1587</v>
      </c>
      <c r="T19" s="121">
        <v>-428</v>
      </c>
      <c r="U19" s="121">
        <v>-46</v>
      </c>
      <c r="V19" s="121">
        <v>-229</v>
      </c>
      <c r="W19" s="121">
        <v>-40</v>
      </c>
      <c r="X19" s="121">
        <v>-25376.161999999997</v>
      </c>
      <c r="Y19" s="122"/>
      <c r="Z19" s="50"/>
      <c r="AE19" s="13"/>
      <c r="BB19" s="283" t="str">
        <f>CountryCode &amp; ".T2.OFT1.S1311.MNAC." &amp; RefVintage</f>
        <v>HU.T2.OFT1.S1311.MNAC.W.2020</v>
      </c>
    </row>
    <row r="20" spans="1:54" ht="15.75">
      <c r="A20" s="159" t="s">
        <v>205</v>
      </c>
      <c r="B20" s="414" t="s">
        <v>697</v>
      </c>
      <c r="C20" s="129" t="s">
        <v>1021</v>
      </c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>
        <v>-1403</v>
      </c>
      <c r="Q20" s="121">
        <v>-5446</v>
      </c>
      <c r="R20" s="121">
        <v>-39847</v>
      </c>
      <c r="S20" s="121">
        <v>4039</v>
      </c>
      <c r="T20" s="121">
        <v>1070</v>
      </c>
      <c r="U20" s="121">
        <v>-5083</v>
      </c>
      <c r="V20" s="121">
        <v>-8277</v>
      </c>
      <c r="W20" s="121">
        <v>-14940</v>
      </c>
      <c r="X20" s="121"/>
      <c r="Y20" s="122"/>
      <c r="Z20" s="50"/>
      <c r="AE20" s="13"/>
      <c r="BB20" s="283" t="str">
        <f>CountryCode &amp; ".T2.OFT2.S1311.MNAC." &amp; RefVintage</f>
        <v>HU.T2.OFT2.S1311.MNAC.W.2020</v>
      </c>
    </row>
    <row r="21" spans="1:54" ht="15.75">
      <c r="A21" s="290"/>
      <c r="B21" s="414"/>
      <c r="C21" s="130"/>
      <c r="D21" s="123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120"/>
      <c r="Z21" s="50"/>
      <c r="AE21" s="13"/>
    </row>
    <row r="22" spans="1:54" ht="15.75">
      <c r="A22" s="290" t="s">
        <v>206</v>
      </c>
      <c r="B22" s="414" t="s">
        <v>698</v>
      </c>
      <c r="C22" s="215" t="s">
        <v>119</v>
      </c>
      <c r="D22" s="216" t="s">
        <v>1019</v>
      </c>
      <c r="E22" s="216" t="s">
        <v>1019</v>
      </c>
      <c r="F22" s="216" t="s">
        <v>1019</v>
      </c>
      <c r="G22" s="216" t="s">
        <v>1019</v>
      </c>
      <c r="H22" s="216" t="s">
        <v>1019</v>
      </c>
      <c r="I22" s="216" t="s">
        <v>1019</v>
      </c>
      <c r="J22" s="216" t="s">
        <v>1019</v>
      </c>
      <c r="K22" s="216" t="s">
        <v>1019</v>
      </c>
      <c r="L22" s="216" t="s">
        <v>1019</v>
      </c>
      <c r="M22" s="216" t="s">
        <v>1019</v>
      </c>
      <c r="N22" s="216" t="s">
        <v>1019</v>
      </c>
      <c r="O22" s="216" t="s">
        <v>1019</v>
      </c>
      <c r="P22" s="216" t="s">
        <v>1019</v>
      </c>
      <c r="Q22" s="216" t="s">
        <v>1019</v>
      </c>
      <c r="R22" s="216" t="s">
        <v>1019</v>
      </c>
      <c r="S22" s="216" t="s">
        <v>1019</v>
      </c>
      <c r="T22" s="216" t="s">
        <v>1019</v>
      </c>
      <c r="U22" s="216" t="s">
        <v>1019</v>
      </c>
      <c r="V22" s="216" t="s">
        <v>1019</v>
      </c>
      <c r="W22" s="216" t="s">
        <v>1019</v>
      </c>
      <c r="X22" s="216" t="s">
        <v>1019</v>
      </c>
      <c r="Y22" s="120"/>
      <c r="Z22" s="50"/>
      <c r="AE22" s="13"/>
      <c r="BB22" s="283" t="str">
        <f>CountryCode &amp; ".T2.ONFT.S1311.MNAC." &amp; RefVintage</f>
        <v>HU.T2.ONFT.S1311.MNAC.W.2020</v>
      </c>
    </row>
    <row r="23" spans="1:54" ht="15.75">
      <c r="A23" s="159" t="s">
        <v>207</v>
      </c>
      <c r="B23" s="414" t="s">
        <v>699</v>
      </c>
      <c r="C23" s="129" t="s">
        <v>69</v>
      </c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2"/>
      <c r="Z23" s="50"/>
      <c r="AE23" s="13"/>
      <c r="BB23" s="283" t="str">
        <f>CountryCode &amp; ".T2.ONFT1.S1311.MNAC." &amp; RefVintage</f>
        <v>HU.T2.ONFT1.S1311.MNAC.W.2020</v>
      </c>
    </row>
    <row r="24" spans="1:54" ht="15.75">
      <c r="A24" s="159" t="s">
        <v>208</v>
      </c>
      <c r="B24" s="414" t="s">
        <v>700</v>
      </c>
      <c r="C24" s="129" t="s">
        <v>70</v>
      </c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2"/>
      <c r="Z24" s="50"/>
      <c r="AE24" s="13"/>
      <c r="BB24" s="283" t="str">
        <f>CountryCode &amp; ".T2.ONFT2.S1311.MNAC." &amp; RefVintage</f>
        <v>HU.T2.ONFT2.S1311.MNAC.W.2020</v>
      </c>
    </row>
    <row r="25" spans="1:54" ht="15.75">
      <c r="A25" s="290"/>
      <c r="B25" s="414"/>
      <c r="C25" s="162"/>
      <c r="D25" s="123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120"/>
      <c r="Z25" s="50"/>
      <c r="AE25" s="13"/>
    </row>
    <row r="26" spans="1:54" ht="15.75">
      <c r="A26" s="290" t="s">
        <v>209</v>
      </c>
      <c r="B26" s="414" t="s">
        <v>701</v>
      </c>
      <c r="C26" s="308" t="s">
        <v>471</v>
      </c>
      <c r="D26" s="119">
        <v>-18665</v>
      </c>
      <c r="E26" s="119">
        <v>-93473</v>
      </c>
      <c r="F26" s="119">
        <v>-30032</v>
      </c>
      <c r="G26" s="119">
        <v>-15715</v>
      </c>
      <c r="H26" s="119">
        <v>-2300</v>
      </c>
      <c r="I26" s="119">
        <v>54416</v>
      </c>
      <c r="J26" s="119">
        <v>2492</v>
      </c>
      <c r="K26" s="119">
        <v>11287</v>
      </c>
      <c r="L26" s="119">
        <v>6723</v>
      </c>
      <c r="M26" s="119">
        <v>-38590</v>
      </c>
      <c r="N26" s="119">
        <v>-62554</v>
      </c>
      <c r="O26" s="119">
        <v>20683</v>
      </c>
      <c r="P26" s="119">
        <v>-60682</v>
      </c>
      <c r="Q26" s="119">
        <v>40310</v>
      </c>
      <c r="R26" s="119">
        <v>-76937</v>
      </c>
      <c r="S26" s="119">
        <v>-5065</v>
      </c>
      <c r="T26" s="119">
        <v>-30701</v>
      </c>
      <c r="U26" s="119">
        <v>-24532</v>
      </c>
      <c r="V26" s="119">
        <v>8559</v>
      </c>
      <c r="W26" s="119">
        <v>-59558</v>
      </c>
      <c r="X26" s="119">
        <v>20121</v>
      </c>
      <c r="Y26" s="124"/>
      <c r="Z26" s="50"/>
      <c r="AE26" s="13"/>
      <c r="BB26" s="283" t="str">
        <f>CountryCode &amp; ".T2.D41DIF.S1311.MNAC." &amp; RefVintage</f>
        <v>HU.T2.D41DIF.S1311.MNAC.W.2020</v>
      </c>
    </row>
    <row r="27" spans="1:54" ht="15.75">
      <c r="A27" s="290"/>
      <c r="B27" s="414"/>
      <c r="C27" s="130"/>
      <c r="D27" s="123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120"/>
      <c r="Z27" s="50"/>
      <c r="AE27" s="13"/>
    </row>
    <row r="28" spans="1:54" ht="15.75">
      <c r="A28" s="290" t="s">
        <v>535</v>
      </c>
      <c r="B28" s="414" t="s">
        <v>702</v>
      </c>
      <c r="C28" s="215" t="s">
        <v>47</v>
      </c>
      <c r="D28" s="216">
        <v>-2000</v>
      </c>
      <c r="E28" s="216">
        <v>18593</v>
      </c>
      <c r="F28" s="216">
        <v>6151</v>
      </c>
      <c r="G28" s="216">
        <v>26293</v>
      </c>
      <c r="H28" s="216">
        <v>12037</v>
      </c>
      <c r="I28" s="216">
        <v>28648</v>
      </c>
      <c r="J28" s="216">
        <v>40819</v>
      </c>
      <c r="K28" s="216">
        <v>43019</v>
      </c>
      <c r="L28" s="216">
        <v>43107</v>
      </c>
      <c r="M28" s="216">
        <v>153696</v>
      </c>
      <c r="N28" s="216">
        <v>-51965</v>
      </c>
      <c r="O28" s="216">
        <v>58596</v>
      </c>
      <c r="P28" s="216">
        <v>25535</v>
      </c>
      <c r="Q28" s="216">
        <v>7897</v>
      </c>
      <c r="R28" s="216">
        <v>80308</v>
      </c>
      <c r="S28" s="216">
        <v>26467</v>
      </c>
      <c r="T28" s="216">
        <v>35238</v>
      </c>
      <c r="U28" s="216">
        <v>-43244</v>
      </c>
      <c r="V28" s="216">
        <v>87290.5</v>
      </c>
      <c r="W28" s="216">
        <v>141021.62400000004</v>
      </c>
      <c r="X28" s="216">
        <v>825731.13100000005</v>
      </c>
      <c r="Y28" s="120"/>
      <c r="Z28" s="50"/>
      <c r="AE28" s="13"/>
      <c r="BB28" s="283" t="str">
        <f>CountryCode &amp; ".T2.F8ASS.S1311.MNAC." &amp; RefVintage</f>
        <v>HU.T2.F8ASS.S1311.MNAC.W.2020</v>
      </c>
    </row>
    <row r="29" spans="1:54" ht="15.75">
      <c r="A29" s="159" t="s">
        <v>536</v>
      </c>
      <c r="B29" s="414" t="s">
        <v>703</v>
      </c>
      <c r="C29" s="129" t="s">
        <v>1035</v>
      </c>
      <c r="D29" s="121">
        <v>0</v>
      </c>
      <c r="E29" s="121"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-3435</v>
      </c>
      <c r="L29" s="121">
        <v>76</v>
      </c>
      <c r="M29" s="121">
        <v>1168</v>
      </c>
      <c r="N29" s="121">
        <v>8118</v>
      </c>
      <c r="O29" s="121">
        <v>17787</v>
      </c>
      <c r="P29" s="121">
        <v>-3420</v>
      </c>
      <c r="Q29" s="121">
        <v>-6067</v>
      </c>
      <c r="R29" s="121">
        <v>8361</v>
      </c>
      <c r="S29" s="121">
        <v>9072</v>
      </c>
      <c r="T29" s="121">
        <v>-6397</v>
      </c>
      <c r="U29" s="121">
        <v>-990</v>
      </c>
      <c r="V29" s="121">
        <v>-1189</v>
      </c>
      <c r="W29" s="121">
        <v>-428</v>
      </c>
      <c r="X29" s="121">
        <v>3046</v>
      </c>
      <c r="Y29" s="122"/>
      <c r="Z29" s="50"/>
      <c r="AE29" s="13"/>
      <c r="BB29" s="283" t="str">
        <f>CountryCode &amp; ".T2.F8ASS1.S1311.MNAC." &amp; RefVintage</f>
        <v>HU.T2.F8ASS1.S1311.MNAC.W.2020</v>
      </c>
    </row>
    <row r="30" spans="1:54" ht="15.75">
      <c r="A30" s="159"/>
      <c r="B30" s="414" t="s">
        <v>704</v>
      </c>
      <c r="C30" s="129" t="s">
        <v>1036</v>
      </c>
      <c r="D30" s="121">
        <v>12439</v>
      </c>
      <c r="E30" s="121">
        <v>7562</v>
      </c>
      <c r="F30" s="121">
        <v>-21818</v>
      </c>
      <c r="G30" s="121">
        <v>13583</v>
      </c>
      <c r="H30" s="121">
        <v>-5016</v>
      </c>
      <c r="I30" s="121">
        <v>5744</v>
      </c>
      <c r="J30" s="121">
        <v>16200</v>
      </c>
      <c r="K30" s="121">
        <v>27352</v>
      </c>
      <c r="L30" s="121">
        <v>32821</v>
      </c>
      <c r="M30" s="121">
        <v>144535</v>
      </c>
      <c r="N30" s="121">
        <v>15484</v>
      </c>
      <c r="O30" s="121">
        <v>4253</v>
      </c>
      <c r="P30" s="121">
        <v>714</v>
      </c>
      <c r="Q30" s="121">
        <v>-14192</v>
      </c>
      <c r="R30" s="121">
        <v>61027</v>
      </c>
      <c r="S30" s="121">
        <v>-3556</v>
      </c>
      <c r="T30" s="121">
        <v>46057</v>
      </c>
      <c r="U30" s="121">
        <v>-7397</v>
      </c>
      <c r="V30" s="121">
        <v>80320</v>
      </c>
      <c r="W30" s="121">
        <v>41061</v>
      </c>
      <c r="X30" s="121">
        <v>24570</v>
      </c>
      <c r="Y30" s="122"/>
      <c r="Z30" s="50"/>
      <c r="AE30" s="13"/>
    </row>
    <row r="31" spans="1:54" ht="15.75">
      <c r="A31" s="159"/>
      <c r="B31" s="414" t="s">
        <v>1022</v>
      </c>
      <c r="C31" s="129" t="s">
        <v>1037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>
        <v>-21814</v>
      </c>
      <c r="S31" s="121">
        <v>21814</v>
      </c>
      <c r="T31" s="121">
        <v>0</v>
      </c>
      <c r="U31" s="121">
        <v>0</v>
      </c>
      <c r="V31" s="121">
        <v>0</v>
      </c>
      <c r="W31" s="121">
        <v>0</v>
      </c>
      <c r="X31" s="121">
        <v>0</v>
      </c>
      <c r="Y31" s="122"/>
      <c r="Z31" s="50"/>
      <c r="AE31" s="13"/>
    </row>
    <row r="32" spans="1:54" ht="15.75">
      <c r="A32" s="159"/>
      <c r="B32" s="414" t="s">
        <v>1023</v>
      </c>
      <c r="C32" s="129" t="s">
        <v>1038</v>
      </c>
      <c r="D32" s="121">
        <v>1600</v>
      </c>
      <c r="E32" s="121">
        <v>1600</v>
      </c>
      <c r="F32" s="121">
        <v>1600</v>
      </c>
      <c r="G32" s="121">
        <v>1600</v>
      </c>
      <c r="H32" s="121">
        <v>1600</v>
      </c>
      <c r="I32" s="121">
        <v>1600</v>
      </c>
      <c r="J32" s="121">
        <v>800</v>
      </c>
      <c r="K32" s="121">
        <v>800</v>
      </c>
      <c r="L32" s="121">
        <v>800</v>
      </c>
      <c r="M32" s="121">
        <v>-7878</v>
      </c>
      <c r="N32" s="121">
        <v>-75267</v>
      </c>
      <c r="O32" s="121">
        <v>10233</v>
      </c>
      <c r="P32" s="121">
        <v>-7267</v>
      </c>
      <c r="Q32" s="121">
        <v>15826</v>
      </c>
      <c r="R32" s="121">
        <v>18400</v>
      </c>
      <c r="S32" s="121">
        <v>18400</v>
      </c>
      <c r="T32" s="121">
        <v>6400</v>
      </c>
      <c r="U32" s="121">
        <v>6400</v>
      </c>
      <c r="V32" s="121">
        <v>8647</v>
      </c>
      <c r="W32" s="121">
        <v>20899</v>
      </c>
      <c r="X32" s="121">
        <v>28708</v>
      </c>
      <c r="Y32" s="122"/>
      <c r="Z32" s="50"/>
      <c r="AE32" s="13"/>
    </row>
    <row r="33" spans="1:54" ht="15.75">
      <c r="A33" s="159"/>
      <c r="B33" s="414" t="s">
        <v>1024</v>
      </c>
      <c r="C33" s="129" t="s">
        <v>1039</v>
      </c>
      <c r="D33" s="121">
        <v>-16039</v>
      </c>
      <c r="E33" s="121">
        <v>9431</v>
      </c>
      <c r="F33" s="121">
        <v>26369</v>
      </c>
      <c r="G33" s="121">
        <v>11110</v>
      </c>
      <c r="H33" s="121">
        <v>15453</v>
      </c>
      <c r="I33" s="121">
        <v>21304</v>
      </c>
      <c r="J33" s="121">
        <v>23819</v>
      </c>
      <c r="K33" s="121">
        <v>18302</v>
      </c>
      <c r="L33" s="121">
        <v>9410</v>
      </c>
      <c r="M33" s="121">
        <v>2671</v>
      </c>
      <c r="N33" s="121">
        <v>11779</v>
      </c>
      <c r="O33" s="121">
        <v>19792</v>
      </c>
      <c r="P33" s="121">
        <v>-2278</v>
      </c>
      <c r="Q33" s="121">
        <v>6961</v>
      </c>
      <c r="R33" s="121">
        <v>-2654</v>
      </c>
      <c r="S33" s="121">
        <v>-39086</v>
      </c>
      <c r="T33" s="121">
        <v>-19104</v>
      </c>
      <c r="U33" s="121">
        <v>13253</v>
      </c>
      <c r="V33" s="121">
        <v>-4324</v>
      </c>
      <c r="W33" s="121">
        <v>70082.600000000006</v>
      </c>
      <c r="X33" s="121">
        <v>1222</v>
      </c>
      <c r="Y33" s="122"/>
      <c r="Z33" s="50"/>
      <c r="AE33" s="13"/>
    </row>
    <row r="34" spans="1:54" ht="15.75">
      <c r="A34" s="159"/>
      <c r="B34" s="414" t="s">
        <v>1025</v>
      </c>
      <c r="C34" s="129" t="s">
        <v>1040</v>
      </c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>
        <v>-5042</v>
      </c>
      <c r="T34" s="121">
        <v>1153</v>
      </c>
      <c r="U34" s="121">
        <v>-5676</v>
      </c>
      <c r="V34" s="121">
        <v>785</v>
      </c>
      <c r="W34" s="121">
        <v>667</v>
      </c>
      <c r="X34" s="121">
        <v>887</v>
      </c>
      <c r="Y34" s="122"/>
      <c r="Z34" s="50"/>
      <c r="AE34" s="13"/>
    </row>
    <row r="35" spans="1:54" ht="15.75">
      <c r="A35" s="159"/>
      <c r="B35" s="414" t="s">
        <v>1026</v>
      </c>
      <c r="C35" s="129" t="s">
        <v>1041</v>
      </c>
      <c r="D35" s="121">
        <v>0</v>
      </c>
      <c r="E35" s="121"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v>0</v>
      </c>
      <c r="M35" s="121">
        <v>13200</v>
      </c>
      <c r="N35" s="121">
        <v>-12079</v>
      </c>
      <c r="O35" s="121">
        <v>6531</v>
      </c>
      <c r="P35" s="121">
        <v>37786</v>
      </c>
      <c r="Q35" s="121">
        <v>3610</v>
      </c>
      <c r="R35" s="121">
        <v>20573</v>
      </c>
      <c r="S35" s="121">
        <v>21785</v>
      </c>
      <c r="T35" s="121">
        <v>20133</v>
      </c>
      <c r="U35" s="121">
        <v>-43260</v>
      </c>
      <c r="V35" s="121">
        <v>1573</v>
      </c>
      <c r="W35" s="121">
        <v>7545.2570000000087</v>
      </c>
      <c r="X35" s="121">
        <v>765318</v>
      </c>
      <c r="Y35" s="122"/>
      <c r="Z35" s="50"/>
      <c r="AE35" s="13"/>
    </row>
    <row r="36" spans="1:54" ht="15.75">
      <c r="A36" s="159" t="s">
        <v>537</v>
      </c>
      <c r="B36" s="414" t="s">
        <v>1027</v>
      </c>
      <c r="C36" s="129" t="s">
        <v>1042</v>
      </c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>
        <v>1759</v>
      </c>
      <c r="R36" s="121">
        <v>-3585</v>
      </c>
      <c r="S36" s="121">
        <v>3080</v>
      </c>
      <c r="T36" s="121">
        <v>-13004</v>
      </c>
      <c r="U36" s="121">
        <v>-5574</v>
      </c>
      <c r="V36" s="121">
        <v>1478.5</v>
      </c>
      <c r="W36" s="121">
        <v>1194.7670000000217</v>
      </c>
      <c r="X36" s="121">
        <v>1980.1310000000522</v>
      </c>
      <c r="Y36" s="529" t="s">
        <v>1150</v>
      </c>
      <c r="Z36" s="50"/>
      <c r="AE36" s="13"/>
      <c r="BB36" s="283" t="str">
        <f>CountryCode &amp; ".T2.F8ASS2.S1311.MNAC." &amp; RefVintage</f>
        <v>HU.T2.F8ASS2.S1311.MNAC.W.2020</v>
      </c>
    </row>
    <row r="37" spans="1:54" ht="15.75">
      <c r="A37" s="290" t="s">
        <v>532</v>
      </c>
      <c r="B37" s="414" t="s">
        <v>705</v>
      </c>
      <c r="C37" s="215" t="s">
        <v>46</v>
      </c>
      <c r="D37" s="216">
        <v>32338</v>
      </c>
      <c r="E37" s="216">
        <v>-3960</v>
      </c>
      <c r="F37" s="216">
        <v>27691</v>
      </c>
      <c r="G37" s="216">
        <v>-27590</v>
      </c>
      <c r="H37" s="216">
        <v>-4022</v>
      </c>
      <c r="I37" s="216">
        <v>3283</v>
      </c>
      <c r="J37" s="216">
        <v>-21184</v>
      </c>
      <c r="K37" s="216">
        <v>-5236</v>
      </c>
      <c r="L37" s="216">
        <v>-185097</v>
      </c>
      <c r="M37" s="216">
        <v>-93972</v>
      </c>
      <c r="N37" s="216">
        <v>35215</v>
      </c>
      <c r="O37" s="216">
        <v>-58342</v>
      </c>
      <c r="P37" s="216">
        <v>123901</v>
      </c>
      <c r="Q37" s="216">
        <v>-6475</v>
      </c>
      <c r="R37" s="216">
        <v>-79423</v>
      </c>
      <c r="S37" s="216">
        <v>-33486</v>
      </c>
      <c r="T37" s="216">
        <v>-58374</v>
      </c>
      <c r="U37" s="216">
        <v>-149347</v>
      </c>
      <c r="V37" s="216">
        <v>-152443</v>
      </c>
      <c r="W37" s="216">
        <v>-232458.804</v>
      </c>
      <c r="X37" s="216">
        <v>12980</v>
      </c>
      <c r="Y37" s="120"/>
      <c r="Z37" s="50"/>
      <c r="AE37" s="13"/>
      <c r="BB37" s="283" t="str">
        <f>CountryCode &amp; ".T2.F8LIA.S1311.MNAC." &amp; RefVintage</f>
        <v>HU.T2.F8LIA.S1311.MNAC.W.2020</v>
      </c>
    </row>
    <row r="38" spans="1:54" ht="15.75">
      <c r="A38" s="159" t="s">
        <v>533</v>
      </c>
      <c r="B38" s="414" t="s">
        <v>706</v>
      </c>
      <c r="C38" s="129" t="s">
        <v>1043</v>
      </c>
      <c r="D38" s="121">
        <v>0</v>
      </c>
      <c r="E38" s="121">
        <v>0</v>
      </c>
      <c r="F38" s="121">
        <v>0</v>
      </c>
      <c r="G38" s="121">
        <v>0</v>
      </c>
      <c r="H38" s="121">
        <v>0</v>
      </c>
      <c r="I38" s="121">
        <v>-878</v>
      </c>
      <c r="J38" s="121">
        <v>-1</v>
      </c>
      <c r="K38" s="121">
        <v>2216</v>
      </c>
      <c r="L38" s="121">
        <v>-7858</v>
      </c>
      <c r="M38" s="121">
        <v>6955</v>
      </c>
      <c r="N38" s="121">
        <v>-8158</v>
      </c>
      <c r="O38" s="121">
        <v>-14653</v>
      </c>
      <c r="P38" s="121">
        <v>50183</v>
      </c>
      <c r="Q38" s="121">
        <v>9099</v>
      </c>
      <c r="R38" s="121">
        <v>-56090</v>
      </c>
      <c r="S38" s="121">
        <v>-28148</v>
      </c>
      <c r="T38" s="121">
        <v>11921</v>
      </c>
      <c r="U38" s="121">
        <v>-17104</v>
      </c>
      <c r="V38" s="121">
        <v>-4323</v>
      </c>
      <c r="W38" s="121">
        <v>-31910</v>
      </c>
      <c r="X38" s="121">
        <v>12374</v>
      </c>
      <c r="Y38" s="122"/>
      <c r="Z38" s="50"/>
      <c r="AE38" s="13"/>
      <c r="BB38" s="283" t="str">
        <f>CountryCode &amp; ".T2.F8LIA1.S1311.MNAC." &amp; RefVintage</f>
        <v>HU.T2.F8LIA1.S1311.MNAC.W.2020</v>
      </c>
    </row>
    <row r="39" spans="1:54" ht="15.75">
      <c r="A39" s="159"/>
      <c r="B39" s="414" t="s">
        <v>707</v>
      </c>
      <c r="C39" s="129" t="s">
        <v>1044</v>
      </c>
      <c r="D39" s="121">
        <v>0</v>
      </c>
      <c r="E39" s="121">
        <v>0</v>
      </c>
      <c r="F39" s="121">
        <v>0</v>
      </c>
      <c r="G39" s="121">
        <v>0</v>
      </c>
      <c r="H39" s="121">
        <v>0</v>
      </c>
      <c r="I39" s="121">
        <v>-11747</v>
      </c>
      <c r="J39" s="121">
        <v>-8658</v>
      </c>
      <c r="K39" s="121">
        <v>-18414</v>
      </c>
      <c r="L39" s="121">
        <v>-4476</v>
      </c>
      <c r="M39" s="121">
        <v>-1789</v>
      </c>
      <c r="N39" s="121">
        <v>9100</v>
      </c>
      <c r="O39" s="121">
        <v>21515</v>
      </c>
      <c r="P39" s="121">
        <v>8260</v>
      </c>
      <c r="Q39" s="121">
        <v>740</v>
      </c>
      <c r="R39" s="121">
        <v>966</v>
      </c>
      <c r="S39" s="121">
        <v>5097</v>
      </c>
      <c r="T39" s="121">
        <v>-4073</v>
      </c>
      <c r="U39" s="121">
        <v>-14842</v>
      </c>
      <c r="V39" s="121">
        <v>-62471</v>
      </c>
      <c r="W39" s="121">
        <v>3530</v>
      </c>
      <c r="X39" s="121">
        <v>-15171</v>
      </c>
      <c r="Y39" s="122"/>
      <c r="Z39" s="50"/>
      <c r="AE39" s="13"/>
    </row>
    <row r="40" spans="1:54" ht="15.75">
      <c r="A40" s="159"/>
      <c r="B40" s="414" t="s">
        <v>1028</v>
      </c>
      <c r="C40" s="129" t="s">
        <v>1045</v>
      </c>
      <c r="D40" s="121">
        <v>0</v>
      </c>
      <c r="E40" s="121"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-27416</v>
      </c>
      <c r="K40" s="121">
        <v>19317</v>
      </c>
      <c r="L40" s="121">
        <v>-174618</v>
      </c>
      <c r="M40" s="121">
        <v>-35436</v>
      </c>
      <c r="N40" s="121">
        <v>71298</v>
      </c>
      <c r="O40" s="121">
        <v>-58970</v>
      </c>
      <c r="P40" s="121">
        <v>32402</v>
      </c>
      <c r="Q40" s="121">
        <v>-18546</v>
      </c>
      <c r="R40" s="121">
        <v>-47137</v>
      </c>
      <c r="S40" s="121">
        <v>-6348</v>
      </c>
      <c r="T40" s="121">
        <v>-81906</v>
      </c>
      <c r="U40" s="121">
        <v>-131022</v>
      </c>
      <c r="V40" s="121">
        <v>-150250</v>
      </c>
      <c r="W40" s="121">
        <v>-58668</v>
      </c>
      <c r="X40" s="121">
        <v>-13889</v>
      </c>
      <c r="Y40" s="122"/>
      <c r="Z40" s="50"/>
      <c r="AE40" s="13"/>
    </row>
    <row r="41" spans="1:54" ht="15.75">
      <c r="A41" s="159"/>
      <c r="B41" s="414" t="s">
        <v>1029</v>
      </c>
      <c r="C41" s="129" t="s">
        <v>1046</v>
      </c>
      <c r="D41" s="121">
        <v>0</v>
      </c>
      <c r="E41" s="121">
        <v>0</v>
      </c>
      <c r="F41" s="121">
        <v>0</v>
      </c>
      <c r="G41" s="121">
        <v>-1156</v>
      </c>
      <c r="H41" s="121">
        <v>-319</v>
      </c>
      <c r="I41" s="121">
        <v>-668</v>
      </c>
      <c r="J41" s="121">
        <v>1705</v>
      </c>
      <c r="K41" s="121">
        <v>-8496</v>
      </c>
      <c r="L41" s="121">
        <v>9</v>
      </c>
      <c r="M41" s="121">
        <v>-77826</v>
      </c>
      <c r="N41" s="121">
        <v>-3164</v>
      </c>
      <c r="O41" s="121">
        <v>4367</v>
      </c>
      <c r="P41" s="121">
        <v>22309</v>
      </c>
      <c r="Q41" s="121">
        <v>14677</v>
      </c>
      <c r="R41" s="121">
        <v>48165</v>
      </c>
      <c r="S41" s="121">
        <v>-3299</v>
      </c>
      <c r="T41" s="121">
        <v>4249</v>
      </c>
      <c r="U41" s="121">
        <v>7644</v>
      </c>
      <c r="V41" s="121">
        <v>6174</v>
      </c>
      <c r="W41" s="121">
        <v>-19595</v>
      </c>
      <c r="X41" s="121">
        <v>17575</v>
      </c>
      <c r="Y41" s="122"/>
      <c r="Z41" s="50"/>
      <c r="AE41" s="13"/>
    </row>
    <row r="42" spans="1:54" ht="15.75">
      <c r="A42" s="159"/>
      <c r="B42" s="414" t="s">
        <v>1030</v>
      </c>
      <c r="C42" s="129" t="s">
        <v>1047</v>
      </c>
      <c r="D42" s="121">
        <v>34738</v>
      </c>
      <c r="E42" s="121">
        <v>203</v>
      </c>
      <c r="F42" s="121">
        <v>23351</v>
      </c>
      <c r="G42" s="121">
        <v>-21871</v>
      </c>
      <c r="H42" s="121">
        <v>-12628</v>
      </c>
      <c r="I42" s="121">
        <v>8228</v>
      </c>
      <c r="J42" s="121">
        <v>22199</v>
      </c>
      <c r="K42" s="121">
        <v>1711</v>
      </c>
      <c r="L42" s="121">
        <v>12751</v>
      </c>
      <c r="M42" s="121">
        <v>19176</v>
      </c>
      <c r="N42" s="121">
        <v>-34858</v>
      </c>
      <c r="O42" s="121">
        <v>-35790</v>
      </c>
      <c r="P42" s="121">
        <v>11621</v>
      </c>
      <c r="Q42" s="121">
        <v>-12572</v>
      </c>
      <c r="R42" s="121">
        <v>-25239</v>
      </c>
      <c r="S42" s="121">
        <v>-142</v>
      </c>
      <c r="T42" s="121">
        <v>11291</v>
      </c>
      <c r="U42" s="121">
        <v>6340</v>
      </c>
      <c r="V42" s="121">
        <v>54536</v>
      </c>
      <c r="W42" s="121">
        <v>23416.195999999996</v>
      </c>
      <c r="X42" s="121">
        <v>26724</v>
      </c>
      <c r="Y42" s="122"/>
      <c r="Z42" s="50"/>
      <c r="AE42" s="13"/>
    </row>
    <row r="43" spans="1:54" ht="15.75">
      <c r="A43" s="159"/>
      <c r="B43" s="414" t="s">
        <v>1031</v>
      </c>
      <c r="C43" s="129" t="s">
        <v>1048</v>
      </c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>
        <v>127</v>
      </c>
      <c r="R43" s="121">
        <v>-88</v>
      </c>
      <c r="S43" s="121">
        <v>-646</v>
      </c>
      <c r="T43" s="121">
        <v>-867</v>
      </c>
      <c r="U43" s="121">
        <v>-3577</v>
      </c>
      <c r="V43" s="121">
        <v>-3072</v>
      </c>
      <c r="W43" s="121">
        <v>16096</v>
      </c>
      <c r="X43" s="121">
        <v>-15154</v>
      </c>
      <c r="Y43" s="122"/>
      <c r="Z43" s="50"/>
      <c r="AE43" s="13"/>
    </row>
    <row r="44" spans="1:54" ht="15.75">
      <c r="A44" s="159"/>
      <c r="B44" s="414" t="s">
        <v>1032</v>
      </c>
      <c r="C44" s="129" t="s">
        <v>1049</v>
      </c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>
        <v>-1799</v>
      </c>
      <c r="X44" s="121"/>
      <c r="Y44" s="122"/>
      <c r="Z44" s="50"/>
      <c r="AE44" s="13"/>
    </row>
    <row r="45" spans="1:54" ht="15.75">
      <c r="A45" s="159"/>
      <c r="B45" s="414" t="s">
        <v>1033</v>
      </c>
      <c r="C45" s="129" t="s">
        <v>1050</v>
      </c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>
        <v>-165293</v>
      </c>
      <c r="X45" s="121"/>
      <c r="Y45" s="122"/>
      <c r="Z45" s="50"/>
      <c r="AE45" s="13"/>
    </row>
    <row r="46" spans="1:54" ht="15.75">
      <c r="A46" s="159" t="s">
        <v>534</v>
      </c>
      <c r="B46" s="414" t="s">
        <v>1034</v>
      </c>
      <c r="C46" s="129" t="s">
        <v>1051</v>
      </c>
      <c r="D46" s="121"/>
      <c r="E46" s="121"/>
      <c r="F46" s="121"/>
      <c r="G46" s="121"/>
      <c r="H46" s="121"/>
      <c r="I46" s="121"/>
      <c r="J46" s="121"/>
      <c r="K46" s="121">
        <v>-1618</v>
      </c>
      <c r="L46" s="121">
        <v>-3394</v>
      </c>
      <c r="M46" s="121">
        <v>-981</v>
      </c>
      <c r="N46" s="121">
        <v>-7900</v>
      </c>
      <c r="O46" s="121">
        <v>-16092</v>
      </c>
      <c r="P46" s="121">
        <v>-9460</v>
      </c>
      <c r="Q46" s="121">
        <v>-989</v>
      </c>
      <c r="R46" s="121">
        <v>54</v>
      </c>
      <c r="S46" s="121">
        <v>6491</v>
      </c>
      <c r="T46" s="121">
        <v>1011</v>
      </c>
      <c r="U46" s="121">
        <v>3214</v>
      </c>
      <c r="V46" s="121">
        <v>6963</v>
      </c>
      <c r="W46" s="121">
        <v>1764</v>
      </c>
      <c r="X46" s="121">
        <v>521</v>
      </c>
      <c r="Y46" s="122"/>
      <c r="Z46" s="50"/>
      <c r="AE46" s="13"/>
      <c r="BB46" s="283" t="str">
        <f>CountryCode &amp; ".T2.F8LIA2.S1311.MNAC." &amp; RefVintage</f>
        <v>HU.T2.F8LIA2.S1311.MNAC.W.2020</v>
      </c>
    </row>
    <row r="47" spans="1:54" ht="15.75">
      <c r="A47" s="292"/>
      <c r="B47" s="414"/>
      <c r="C47" s="214"/>
      <c r="D47" s="125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0"/>
      <c r="Z47" s="50"/>
      <c r="AE47" s="13"/>
    </row>
    <row r="48" spans="1:54" ht="15.75">
      <c r="A48" s="290" t="s">
        <v>210</v>
      </c>
      <c r="B48" s="414" t="s">
        <v>708</v>
      </c>
      <c r="C48" s="215" t="s">
        <v>74</v>
      </c>
      <c r="D48" s="216" t="s">
        <v>1019</v>
      </c>
      <c r="E48" s="216" t="s">
        <v>1019</v>
      </c>
      <c r="F48" s="216" t="s">
        <v>1019</v>
      </c>
      <c r="G48" s="216" t="s">
        <v>1019</v>
      </c>
      <c r="H48" s="216" t="s">
        <v>1019</v>
      </c>
      <c r="I48" s="216" t="s">
        <v>1019</v>
      </c>
      <c r="J48" s="216" t="s">
        <v>1019</v>
      </c>
      <c r="K48" s="216" t="s">
        <v>1019</v>
      </c>
      <c r="L48" s="216" t="s">
        <v>1019</v>
      </c>
      <c r="M48" s="216" t="s">
        <v>1019</v>
      </c>
      <c r="N48" s="216" t="s">
        <v>1019</v>
      </c>
      <c r="O48" s="216" t="s">
        <v>1019</v>
      </c>
      <c r="P48" s="216" t="s">
        <v>1019</v>
      </c>
      <c r="Q48" s="216" t="s">
        <v>1019</v>
      </c>
      <c r="R48" s="216" t="s">
        <v>1019</v>
      </c>
      <c r="S48" s="216" t="s">
        <v>1019</v>
      </c>
      <c r="T48" s="216" t="s">
        <v>1019</v>
      </c>
      <c r="U48" s="216" t="s">
        <v>1019</v>
      </c>
      <c r="V48" s="216" t="s">
        <v>1019</v>
      </c>
      <c r="W48" s="216" t="s">
        <v>1019</v>
      </c>
      <c r="X48" s="216" t="s">
        <v>1019</v>
      </c>
      <c r="Y48" s="120"/>
      <c r="Z48" s="50"/>
      <c r="AE48" s="13"/>
      <c r="BB48" s="283" t="str">
        <f>CountryCode &amp; ".T2.B9_OWB.S1311.MNAC." &amp; RefVintage</f>
        <v>HU.T2.B9_OWB.S1311.MNAC.W.2020</v>
      </c>
    </row>
    <row r="49" spans="1:54" ht="15.75">
      <c r="A49" s="290" t="s">
        <v>211</v>
      </c>
      <c r="B49" s="414" t="s">
        <v>709</v>
      </c>
      <c r="C49" s="215" t="s">
        <v>577</v>
      </c>
      <c r="D49" s="216">
        <v>-56438.341</v>
      </c>
      <c r="E49" s="216">
        <v>-64825</v>
      </c>
      <c r="F49" s="216">
        <v>-110300.84</v>
      </c>
      <c r="G49" s="216">
        <v>-17262.609090909085</v>
      </c>
      <c r="H49" s="216">
        <v>-79929</v>
      </c>
      <c r="I49" s="216">
        <v>-14781</v>
      </c>
      <c r="J49" s="216">
        <v>-112518</v>
      </c>
      <c r="K49" s="216">
        <v>78150</v>
      </c>
      <c r="L49" s="216">
        <v>-113419</v>
      </c>
      <c r="M49" s="216">
        <v>-221128</v>
      </c>
      <c r="N49" s="216">
        <v>-171485</v>
      </c>
      <c r="O49" s="216">
        <v>-114398</v>
      </c>
      <c r="P49" s="216">
        <v>-66413</v>
      </c>
      <c r="Q49" s="216">
        <v>-33286</v>
      </c>
      <c r="R49" s="216">
        <v>-113194</v>
      </c>
      <c r="S49" s="216">
        <v>30585</v>
      </c>
      <c r="T49" s="216">
        <v>-335546</v>
      </c>
      <c r="U49" s="216">
        <v>-22596.237999999998</v>
      </c>
      <c r="V49" s="216">
        <v>190355</v>
      </c>
      <c r="W49" s="216">
        <v>-87941.436000000002</v>
      </c>
      <c r="X49" s="216">
        <v>-102040</v>
      </c>
      <c r="Y49" s="120"/>
      <c r="Z49" s="50"/>
      <c r="AE49" s="13"/>
      <c r="BB49" s="283" t="str">
        <f>CountryCode &amp; ".T2.B9_OB.S1311.MNAC." &amp; RefVintage</f>
        <v>HU.T2.B9_OB.S1311.MNAC.W.2020</v>
      </c>
    </row>
    <row r="50" spans="1:54" ht="15.75">
      <c r="A50" s="159" t="s">
        <v>212</v>
      </c>
      <c r="B50" s="414" t="s">
        <v>710</v>
      </c>
      <c r="C50" s="129" t="s">
        <v>1054</v>
      </c>
      <c r="D50" s="121">
        <v>-17022</v>
      </c>
      <c r="E50" s="121">
        <v>8161</v>
      </c>
      <c r="F50" s="121">
        <v>9172</v>
      </c>
      <c r="G50" s="121">
        <v>14805.300000000003</v>
      </c>
      <c r="H50" s="121">
        <v>-13126</v>
      </c>
      <c r="I50" s="121">
        <v>-7675</v>
      </c>
      <c r="J50" s="121">
        <v>-8826</v>
      </c>
      <c r="K50" s="121">
        <v>3937</v>
      </c>
      <c r="L50" s="121">
        <v>8036</v>
      </c>
      <c r="M50" s="121">
        <v>21484</v>
      </c>
      <c r="N50" s="121">
        <v>20182</v>
      </c>
      <c r="O50" s="121">
        <v>46431</v>
      </c>
      <c r="P50" s="121">
        <v>49854</v>
      </c>
      <c r="Q50" s="121">
        <v>13247</v>
      </c>
      <c r="R50" s="121">
        <v>-52308</v>
      </c>
      <c r="S50" s="121"/>
      <c r="T50" s="121"/>
      <c r="U50" s="121"/>
      <c r="V50" s="121"/>
      <c r="W50" s="121"/>
      <c r="X50" s="121"/>
      <c r="Y50" s="122"/>
      <c r="Z50" s="50"/>
      <c r="AE50" s="13"/>
      <c r="BB50" s="283" t="str">
        <f>CountryCode &amp; ".T2.B9_OB1.S1311.MNAC." &amp; RefVintage</f>
        <v>HU.T2.B9_OB1.S1311.MNAC.W.2020</v>
      </c>
    </row>
    <row r="51" spans="1:54" ht="15.75">
      <c r="A51" s="159"/>
      <c r="B51" s="414" t="s">
        <v>711</v>
      </c>
      <c r="C51" s="129" t="s">
        <v>1055</v>
      </c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>
        <v>-426605</v>
      </c>
      <c r="U51" s="121">
        <v>18463</v>
      </c>
      <c r="V51" s="121">
        <v>7015</v>
      </c>
      <c r="W51" s="121">
        <v>0</v>
      </c>
      <c r="X51" s="121">
        <v>0</v>
      </c>
      <c r="Y51" s="530" t="s">
        <v>1151</v>
      </c>
      <c r="Z51" s="50"/>
      <c r="AE51" s="13"/>
    </row>
    <row r="52" spans="1:54" ht="15.75">
      <c r="A52" s="159"/>
      <c r="B52" s="414" t="s">
        <v>1052</v>
      </c>
      <c r="C52" s="129" t="s">
        <v>1056</v>
      </c>
      <c r="D52" s="121">
        <v>-42453.341</v>
      </c>
      <c r="E52" s="121">
        <v>-78964</v>
      </c>
      <c r="F52" s="121">
        <v>-116711.84</v>
      </c>
      <c r="G52" s="121">
        <v>-33960.909090909088</v>
      </c>
      <c r="H52" s="121">
        <v>-74089</v>
      </c>
      <c r="I52" s="121">
        <v>-11323</v>
      </c>
      <c r="J52" s="121">
        <v>-82798</v>
      </c>
      <c r="K52" s="121">
        <v>35665</v>
      </c>
      <c r="L52" s="121">
        <v>-129585</v>
      </c>
      <c r="M52" s="121">
        <v>-241917</v>
      </c>
      <c r="N52" s="121">
        <v>-191311</v>
      </c>
      <c r="O52" s="121">
        <v>-157430</v>
      </c>
      <c r="P52" s="121">
        <v>-122065</v>
      </c>
      <c r="Q52" s="121">
        <v>-39097</v>
      </c>
      <c r="R52" s="121">
        <v>-63136</v>
      </c>
      <c r="S52" s="121">
        <v>28475</v>
      </c>
      <c r="T52" s="121">
        <v>86963</v>
      </c>
      <c r="U52" s="121">
        <v>-37449.237999999998</v>
      </c>
      <c r="V52" s="121">
        <v>184893</v>
      </c>
      <c r="W52" s="121">
        <v>-69959.135999999999</v>
      </c>
      <c r="X52" s="121">
        <v>-64598</v>
      </c>
      <c r="Y52" s="122"/>
      <c r="Z52" s="50"/>
      <c r="AE52" s="13"/>
    </row>
    <row r="53" spans="1:54" ht="15.75">
      <c r="A53" s="159" t="s">
        <v>213</v>
      </c>
      <c r="B53" s="414" t="s">
        <v>1053</v>
      </c>
      <c r="C53" s="129" t="s">
        <v>1057</v>
      </c>
      <c r="D53" s="121">
        <v>3037</v>
      </c>
      <c r="E53" s="121">
        <v>5978</v>
      </c>
      <c r="F53" s="121">
        <v>-2761</v>
      </c>
      <c r="G53" s="121">
        <v>1893</v>
      </c>
      <c r="H53" s="121">
        <v>7286</v>
      </c>
      <c r="I53" s="121">
        <v>4217</v>
      </c>
      <c r="J53" s="121">
        <v>-20894</v>
      </c>
      <c r="K53" s="121">
        <v>38548</v>
      </c>
      <c r="L53" s="121">
        <v>8130</v>
      </c>
      <c r="M53" s="121">
        <v>-695</v>
      </c>
      <c r="N53" s="121">
        <v>-356</v>
      </c>
      <c r="O53" s="121">
        <v>-3399</v>
      </c>
      <c r="P53" s="121">
        <v>5798</v>
      </c>
      <c r="Q53" s="121">
        <v>-7436</v>
      </c>
      <c r="R53" s="121">
        <v>2250</v>
      </c>
      <c r="S53" s="121">
        <v>2110</v>
      </c>
      <c r="T53" s="121">
        <v>4096</v>
      </c>
      <c r="U53" s="121">
        <v>-3610</v>
      </c>
      <c r="V53" s="121">
        <v>-1553</v>
      </c>
      <c r="W53" s="121">
        <v>-17982.3</v>
      </c>
      <c r="X53" s="121">
        <v>-37442</v>
      </c>
      <c r="Y53" s="122"/>
      <c r="Z53" s="50"/>
      <c r="AE53" s="13"/>
      <c r="BB53" s="283" t="str">
        <f>CountryCode &amp; ".T2.B9_OB2.S1311.MNAC." &amp; RefVintage</f>
        <v>HU.T2.B9_OB2.S1311.MNAC.W.2020</v>
      </c>
    </row>
    <row r="54" spans="1:54" ht="15.75">
      <c r="A54" s="290"/>
      <c r="B54" s="414"/>
      <c r="C54" s="130"/>
      <c r="D54" s="123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120"/>
      <c r="Z54" s="50"/>
      <c r="AE54" s="13"/>
    </row>
    <row r="55" spans="1:54" ht="15.75">
      <c r="A55" s="290" t="s">
        <v>214</v>
      </c>
      <c r="B55" s="414" t="s">
        <v>712</v>
      </c>
      <c r="C55" s="215" t="s">
        <v>48</v>
      </c>
      <c r="D55" s="216">
        <v>-176881</v>
      </c>
      <c r="E55" s="216">
        <v>-104730</v>
      </c>
      <c r="F55" s="216">
        <v>-53616</v>
      </c>
      <c r="G55" s="216">
        <v>-115325</v>
      </c>
      <c r="H55" s="216">
        <v>-140632</v>
      </c>
      <c r="I55" s="216">
        <v>24854</v>
      </c>
      <c r="J55" s="216">
        <v>-180598</v>
      </c>
      <c r="K55" s="216">
        <v>-59596</v>
      </c>
      <c r="L55" s="216">
        <v>-99777</v>
      </c>
      <c r="M55" s="216">
        <v>-170555</v>
      </c>
      <c r="N55" s="216">
        <v>-422181</v>
      </c>
      <c r="O55" s="216">
        <v>-383251</v>
      </c>
      <c r="P55" s="216">
        <v>-149654</v>
      </c>
      <c r="Q55" s="216">
        <v>-110642</v>
      </c>
      <c r="R55" s="216">
        <v>-101405</v>
      </c>
      <c r="S55" s="216">
        <v>-156758</v>
      </c>
      <c r="T55" s="216">
        <v>-157045</v>
      </c>
      <c r="U55" s="216">
        <v>-52851</v>
      </c>
      <c r="V55" s="216">
        <v>-824847</v>
      </c>
      <c r="W55" s="216">
        <v>-433257</v>
      </c>
      <c r="X55" s="216">
        <v>-142247</v>
      </c>
      <c r="Y55" s="120"/>
      <c r="Z55" s="50"/>
      <c r="AE55" s="13"/>
      <c r="BB55" s="283" t="str">
        <f>CountryCode &amp; ".T2.OA.S1311.MNAC." &amp; RefVintage</f>
        <v>HU.T2.OA.S1311.MNAC.W.2020</v>
      </c>
    </row>
    <row r="56" spans="1:54" ht="15.75">
      <c r="A56" s="159" t="s">
        <v>215</v>
      </c>
      <c r="B56" s="414" t="s">
        <v>713</v>
      </c>
      <c r="C56" s="525" t="s">
        <v>1100</v>
      </c>
      <c r="D56" s="121">
        <v>-41584</v>
      </c>
      <c r="E56" s="121">
        <v>-104730</v>
      </c>
      <c r="F56" s="121">
        <v>-53616</v>
      </c>
      <c r="G56" s="121">
        <v>-54470</v>
      </c>
      <c r="H56" s="121">
        <v>-90775</v>
      </c>
      <c r="I56" s="121">
        <v>-42905</v>
      </c>
      <c r="J56" s="121">
        <v>-80113</v>
      </c>
      <c r="K56" s="121">
        <v>-28811</v>
      </c>
      <c r="L56" s="121">
        <v>-99389</v>
      </c>
      <c r="M56" s="121">
        <v>-348968</v>
      </c>
      <c r="N56" s="121">
        <v>-423903</v>
      </c>
      <c r="O56" s="121">
        <v>-468806</v>
      </c>
      <c r="P56" s="121">
        <v>-130793</v>
      </c>
      <c r="Q56" s="121"/>
      <c r="R56" s="121">
        <v>-67360</v>
      </c>
      <c r="S56" s="121">
        <v>-156697</v>
      </c>
      <c r="T56" s="121">
        <v>-95386</v>
      </c>
      <c r="U56" s="121">
        <v>-83654</v>
      </c>
      <c r="V56" s="121">
        <v>-117562</v>
      </c>
      <c r="W56" s="121">
        <v>-513</v>
      </c>
      <c r="X56" s="121">
        <v>0</v>
      </c>
      <c r="Y56" s="122"/>
      <c r="Z56" s="50"/>
      <c r="AE56" s="13"/>
      <c r="BB56" s="283" t="str">
        <f>CountryCode &amp; ".T2.OA1.S1311.MNAC." &amp; RefVintage</f>
        <v>HU.T2.OA1.S1311.MNAC.W.2020</v>
      </c>
    </row>
    <row r="57" spans="1:54" ht="15.75">
      <c r="A57" s="159"/>
      <c r="B57" s="414" t="s">
        <v>714</v>
      </c>
      <c r="C57" s="525" t="s">
        <v>1101</v>
      </c>
      <c r="D57" s="121">
        <v>-18700</v>
      </c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2"/>
      <c r="Z57" s="50"/>
      <c r="AE57" s="13"/>
    </row>
    <row r="58" spans="1:54" ht="15.75">
      <c r="A58" s="159"/>
      <c r="B58" s="414" t="s">
        <v>715</v>
      </c>
      <c r="C58" s="525" t="s">
        <v>1102</v>
      </c>
      <c r="D58" s="121">
        <v>-1127</v>
      </c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2"/>
      <c r="Z58" s="50"/>
      <c r="AE58" s="13"/>
    </row>
    <row r="59" spans="1:54" ht="15.75">
      <c r="A59" s="159"/>
      <c r="B59" s="414" t="s">
        <v>716</v>
      </c>
      <c r="C59" s="525" t="s">
        <v>1103</v>
      </c>
      <c r="D59" s="121"/>
      <c r="E59" s="121"/>
      <c r="F59" s="121"/>
      <c r="G59" s="121">
        <v>-15337</v>
      </c>
      <c r="H59" s="121"/>
      <c r="I59" s="121"/>
      <c r="J59" s="121">
        <v>-2720</v>
      </c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2"/>
      <c r="Z59" s="50"/>
      <c r="AE59" s="13"/>
    </row>
    <row r="60" spans="1:54" ht="15.75">
      <c r="A60" s="159"/>
      <c r="B60" s="414" t="s">
        <v>717</v>
      </c>
      <c r="C60" s="525" t="s">
        <v>1104</v>
      </c>
      <c r="D60" s="121">
        <v>-47770</v>
      </c>
      <c r="E60" s="121"/>
      <c r="F60" s="121"/>
      <c r="G60" s="121">
        <v>-16447</v>
      </c>
      <c r="H60" s="121"/>
      <c r="I60" s="121">
        <v>-36481</v>
      </c>
      <c r="J60" s="121"/>
      <c r="K60" s="121">
        <v>-62085</v>
      </c>
      <c r="L60" s="121">
        <v>-828</v>
      </c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2"/>
      <c r="Z60" s="50"/>
      <c r="AE60" s="13"/>
    </row>
    <row r="61" spans="1:54" ht="15.75">
      <c r="A61" s="159"/>
      <c r="B61" s="414" t="s">
        <v>1058</v>
      </c>
      <c r="C61" s="525" t="s">
        <v>1105</v>
      </c>
      <c r="D61" s="121"/>
      <c r="E61" s="121"/>
      <c r="F61" s="121"/>
      <c r="G61" s="121">
        <v>-25071</v>
      </c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2"/>
      <c r="Z61" s="50"/>
      <c r="AE61" s="13"/>
    </row>
    <row r="62" spans="1:54" ht="15.75">
      <c r="A62" s="159"/>
      <c r="B62" s="414" t="s">
        <v>1059</v>
      </c>
      <c r="C62" s="525" t="s">
        <v>1106</v>
      </c>
      <c r="D62" s="121"/>
      <c r="E62" s="121"/>
      <c r="F62" s="121"/>
      <c r="G62" s="121">
        <v>-4000</v>
      </c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2"/>
      <c r="Z62" s="50"/>
      <c r="AE62" s="13"/>
    </row>
    <row r="63" spans="1:54" ht="15.75">
      <c r="A63" s="159"/>
      <c r="B63" s="414" t="s">
        <v>1060</v>
      </c>
      <c r="C63" s="525" t="s">
        <v>1107</v>
      </c>
      <c r="D63" s="121"/>
      <c r="E63" s="121"/>
      <c r="F63" s="121"/>
      <c r="G63" s="121"/>
      <c r="H63" s="121">
        <v>-50000</v>
      </c>
      <c r="I63" s="121"/>
      <c r="J63" s="121"/>
      <c r="K63" s="121">
        <v>47000</v>
      </c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2"/>
      <c r="Z63" s="50"/>
      <c r="AE63" s="13"/>
    </row>
    <row r="64" spans="1:54" ht="15.75">
      <c r="A64" s="159"/>
      <c r="B64" s="414" t="s">
        <v>1061</v>
      </c>
      <c r="C64" s="525" t="s">
        <v>1108</v>
      </c>
      <c r="D64" s="121"/>
      <c r="E64" s="121"/>
      <c r="F64" s="121"/>
      <c r="G64" s="121"/>
      <c r="H64" s="121">
        <v>36568</v>
      </c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>
        <v>0</v>
      </c>
      <c r="V64" s="121">
        <v>-78008</v>
      </c>
      <c r="W64" s="121"/>
      <c r="X64" s="121"/>
      <c r="Y64" s="122"/>
      <c r="Z64" s="50"/>
      <c r="AE64" s="13"/>
    </row>
    <row r="65" spans="1:31" ht="15.75">
      <c r="A65" s="159"/>
      <c r="B65" s="414" t="s">
        <v>1062</v>
      </c>
      <c r="C65" s="525" t="s">
        <v>1109</v>
      </c>
      <c r="D65" s="121"/>
      <c r="E65" s="121"/>
      <c r="F65" s="121"/>
      <c r="G65" s="121"/>
      <c r="H65" s="121">
        <v>-36425</v>
      </c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2"/>
      <c r="Z65" s="50"/>
      <c r="AE65" s="13"/>
    </row>
    <row r="66" spans="1:31" ht="15.75">
      <c r="A66" s="159"/>
      <c r="B66" s="414" t="s">
        <v>1063</v>
      </c>
      <c r="C66" s="525" t="s">
        <v>1110</v>
      </c>
      <c r="D66" s="121"/>
      <c r="E66" s="121"/>
      <c r="F66" s="121"/>
      <c r="G66" s="121"/>
      <c r="H66" s="121"/>
      <c r="I66" s="121">
        <v>94139</v>
      </c>
      <c r="J66" s="121">
        <v>-78825</v>
      </c>
      <c r="K66" s="121">
        <v>-9289</v>
      </c>
      <c r="L66" s="121">
        <v>-5923</v>
      </c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2"/>
      <c r="Z66" s="50"/>
      <c r="AE66" s="13"/>
    </row>
    <row r="67" spans="1:31" ht="15.75">
      <c r="A67" s="159"/>
      <c r="B67" s="414" t="s">
        <v>1064</v>
      </c>
      <c r="C67" s="525" t="s">
        <v>1111</v>
      </c>
      <c r="D67" s="121"/>
      <c r="E67" s="121"/>
      <c r="F67" s="121"/>
      <c r="G67" s="121"/>
      <c r="H67" s="121"/>
      <c r="I67" s="121">
        <v>10101</v>
      </c>
      <c r="J67" s="121">
        <v>-16491</v>
      </c>
      <c r="K67" s="121">
        <v>-6301</v>
      </c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2"/>
      <c r="Z67" s="50"/>
      <c r="AE67" s="13"/>
    </row>
    <row r="68" spans="1:31" ht="15.75">
      <c r="A68" s="159"/>
      <c r="B68" s="414" t="s">
        <v>1065</v>
      </c>
      <c r="C68" s="525" t="s">
        <v>1112</v>
      </c>
      <c r="D68" s="121"/>
      <c r="E68" s="121"/>
      <c r="F68" s="121"/>
      <c r="G68" s="121"/>
      <c r="H68" s="121"/>
      <c r="I68" s="121"/>
      <c r="J68" s="121">
        <v>-3600</v>
      </c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2"/>
      <c r="Z68" s="50"/>
      <c r="AE68" s="13"/>
    </row>
    <row r="69" spans="1:31" ht="15.75">
      <c r="A69" s="159"/>
      <c r="B69" s="414" t="s">
        <v>1066</v>
      </c>
      <c r="C69" s="525" t="s">
        <v>1113</v>
      </c>
      <c r="D69" s="121"/>
      <c r="E69" s="121"/>
      <c r="F69" s="121"/>
      <c r="G69" s="121"/>
      <c r="H69" s="121"/>
      <c r="I69" s="121"/>
      <c r="J69" s="121">
        <v>-3000</v>
      </c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2"/>
      <c r="Z69" s="50"/>
      <c r="AE69" s="13"/>
    </row>
    <row r="70" spans="1:31" ht="15.75">
      <c r="A70" s="159"/>
      <c r="B70" s="414" t="s">
        <v>1067</v>
      </c>
      <c r="C70" s="525" t="s">
        <v>1114</v>
      </c>
      <c r="D70" s="121">
        <v>-67700</v>
      </c>
      <c r="E70" s="121"/>
      <c r="F70" s="121"/>
      <c r="G70" s="121"/>
      <c r="H70" s="121"/>
      <c r="I70" s="121"/>
      <c r="J70" s="121">
        <v>4151</v>
      </c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2"/>
      <c r="Z70" s="50"/>
      <c r="AE70" s="13"/>
    </row>
    <row r="71" spans="1:31" ht="30.75">
      <c r="A71" s="159"/>
      <c r="B71" s="414" t="s">
        <v>1068</v>
      </c>
      <c r="C71" s="525" t="s">
        <v>1115</v>
      </c>
      <c r="D71" s="121"/>
      <c r="E71" s="121"/>
      <c r="F71" s="121"/>
      <c r="G71" s="121"/>
      <c r="H71" s="121"/>
      <c r="I71" s="121"/>
      <c r="J71" s="121"/>
      <c r="K71" s="121">
        <v>-110</v>
      </c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2"/>
      <c r="Z71" s="50"/>
      <c r="AE71" s="13"/>
    </row>
    <row r="72" spans="1:31" ht="30.75">
      <c r="A72" s="159"/>
      <c r="B72" s="414" t="s">
        <v>1069</v>
      </c>
      <c r="C72" s="525" t="s">
        <v>1116</v>
      </c>
      <c r="D72" s="121"/>
      <c r="E72" s="121"/>
      <c r="F72" s="121"/>
      <c r="G72" s="121"/>
      <c r="H72" s="121"/>
      <c r="I72" s="121"/>
      <c r="J72" s="121"/>
      <c r="K72" s="121"/>
      <c r="L72" s="121">
        <v>41983</v>
      </c>
      <c r="M72" s="121">
        <v>166537</v>
      </c>
      <c r="N72" s="121"/>
      <c r="O72" s="121">
        <v>268696</v>
      </c>
      <c r="P72" s="121">
        <v>67790</v>
      </c>
      <c r="Q72" s="121"/>
      <c r="R72" s="121"/>
      <c r="S72" s="121"/>
      <c r="T72" s="121"/>
      <c r="U72" s="121"/>
      <c r="V72" s="121"/>
      <c r="W72" s="121"/>
      <c r="X72" s="121"/>
      <c r="Y72" s="122"/>
      <c r="Z72" s="50"/>
      <c r="AE72" s="13"/>
    </row>
    <row r="73" spans="1:31" ht="30.75">
      <c r="A73" s="159"/>
      <c r="B73" s="414" t="s">
        <v>1070</v>
      </c>
      <c r="C73" s="525" t="s">
        <v>1117</v>
      </c>
      <c r="D73" s="121"/>
      <c r="E73" s="121"/>
      <c r="F73" s="121"/>
      <c r="G73" s="121"/>
      <c r="H73" s="121"/>
      <c r="I73" s="121"/>
      <c r="J73" s="121"/>
      <c r="K73" s="121"/>
      <c r="L73" s="121">
        <v>-35620</v>
      </c>
      <c r="M73" s="121">
        <v>-4812</v>
      </c>
      <c r="N73" s="121"/>
      <c r="O73" s="121">
        <v>-46060</v>
      </c>
      <c r="P73" s="121"/>
      <c r="Q73" s="121"/>
      <c r="R73" s="121">
        <v>-4118</v>
      </c>
      <c r="S73" s="121"/>
      <c r="T73" s="121"/>
      <c r="U73" s="121"/>
      <c r="V73" s="121"/>
      <c r="W73" s="121"/>
      <c r="X73" s="121"/>
      <c r="Y73" s="122"/>
      <c r="Z73" s="50"/>
      <c r="AE73" s="13"/>
    </row>
    <row r="74" spans="1:31" ht="30.75">
      <c r="A74" s="159"/>
      <c r="B74" s="414" t="s">
        <v>1071</v>
      </c>
      <c r="C74" s="525" t="s">
        <v>1118</v>
      </c>
      <c r="D74" s="121"/>
      <c r="E74" s="121"/>
      <c r="F74" s="121"/>
      <c r="G74" s="121"/>
      <c r="H74" s="121"/>
      <c r="I74" s="121"/>
      <c r="J74" s="121"/>
      <c r="K74" s="121"/>
      <c r="L74" s="121"/>
      <c r="M74" s="121">
        <v>28877</v>
      </c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2"/>
      <c r="Z74" s="50"/>
      <c r="AE74" s="13"/>
    </row>
    <row r="75" spans="1:31" ht="15.75">
      <c r="A75" s="159"/>
      <c r="B75" s="414" t="s">
        <v>1072</v>
      </c>
      <c r="C75" s="525" t="s">
        <v>1119</v>
      </c>
      <c r="D75" s="121"/>
      <c r="E75" s="121"/>
      <c r="F75" s="121"/>
      <c r="G75" s="121"/>
      <c r="H75" s="121"/>
      <c r="I75" s="121"/>
      <c r="J75" s="121"/>
      <c r="K75" s="121"/>
      <c r="L75" s="121"/>
      <c r="M75" s="121">
        <v>-10670</v>
      </c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2"/>
      <c r="Z75" s="50"/>
      <c r="AE75" s="13"/>
    </row>
    <row r="76" spans="1:31" ht="15.75">
      <c r="A76" s="159"/>
      <c r="B76" s="414" t="s">
        <v>1073</v>
      </c>
      <c r="C76" s="525" t="s">
        <v>1120</v>
      </c>
      <c r="D76" s="121"/>
      <c r="E76" s="121"/>
      <c r="F76" s="121"/>
      <c r="G76" s="121"/>
      <c r="H76" s="121"/>
      <c r="I76" s="121"/>
      <c r="J76" s="121"/>
      <c r="K76" s="121"/>
      <c r="L76" s="121"/>
      <c r="M76" s="121">
        <v>-1519</v>
      </c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2"/>
      <c r="Z76" s="50"/>
      <c r="AE76" s="13"/>
    </row>
    <row r="77" spans="1:31" ht="15.75">
      <c r="A77" s="159"/>
      <c r="B77" s="414" t="s">
        <v>1074</v>
      </c>
      <c r="C77" s="525" t="s">
        <v>1121</v>
      </c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>
        <v>1722</v>
      </c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2"/>
      <c r="Z77" s="50"/>
      <c r="AE77" s="13"/>
    </row>
    <row r="78" spans="1:31" ht="15.75">
      <c r="A78" s="159"/>
      <c r="B78" s="414" t="s">
        <v>1075</v>
      </c>
      <c r="C78" s="525" t="s">
        <v>1122</v>
      </c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>
        <v>-17799</v>
      </c>
      <c r="P78" s="121"/>
      <c r="Q78" s="121"/>
      <c r="R78" s="121"/>
      <c r="S78" s="121"/>
      <c r="T78" s="121"/>
      <c r="U78" s="121"/>
      <c r="V78" s="121"/>
      <c r="W78" s="121"/>
      <c r="X78" s="121"/>
      <c r="Y78" s="122"/>
      <c r="Z78" s="50"/>
      <c r="AE78" s="13"/>
    </row>
    <row r="79" spans="1:31" ht="15.75">
      <c r="A79" s="159"/>
      <c r="B79" s="414" t="s">
        <v>1076</v>
      </c>
      <c r="C79" s="525" t="s">
        <v>1123</v>
      </c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>
        <v>0</v>
      </c>
      <c r="P79" s="121">
        <v>-4379</v>
      </c>
      <c r="Q79" s="121">
        <v>-6835</v>
      </c>
      <c r="R79" s="121">
        <v>-5128</v>
      </c>
      <c r="S79" s="121">
        <v>-2518</v>
      </c>
      <c r="T79" s="121">
        <v>-3718</v>
      </c>
      <c r="U79" s="121">
        <v>-5171</v>
      </c>
      <c r="V79" s="121">
        <v>-5096</v>
      </c>
      <c r="W79" s="121">
        <v>-5035</v>
      </c>
      <c r="X79" s="121">
        <v>-4916</v>
      </c>
      <c r="Y79" s="122"/>
      <c r="Z79" s="50"/>
      <c r="AE79" s="13"/>
    </row>
    <row r="80" spans="1:31" ht="15.75">
      <c r="A80" s="159"/>
      <c r="B80" s="414" t="s">
        <v>1077</v>
      </c>
      <c r="C80" s="525" t="s">
        <v>1124</v>
      </c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>
        <v>-101925</v>
      </c>
      <c r="P80" s="121">
        <v>-69644</v>
      </c>
      <c r="Q80" s="121"/>
      <c r="R80" s="121"/>
      <c r="S80" s="121"/>
      <c r="T80" s="121"/>
      <c r="U80" s="121"/>
      <c r="V80" s="121"/>
      <c r="W80" s="121"/>
      <c r="X80" s="121"/>
      <c r="Y80" s="122"/>
      <c r="Z80" s="50"/>
      <c r="AE80" s="13"/>
    </row>
    <row r="81" spans="1:31" ht="15.75">
      <c r="A81" s="159"/>
      <c r="B81" s="414" t="s">
        <v>1078</v>
      </c>
      <c r="C81" s="525" t="s">
        <v>1125</v>
      </c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>
        <v>-11975</v>
      </c>
      <c r="P81" s="121">
        <v>-11015</v>
      </c>
      <c r="Q81" s="121">
        <v>-1307</v>
      </c>
      <c r="R81" s="121">
        <v>-3073</v>
      </c>
      <c r="S81" s="121"/>
      <c r="T81" s="121"/>
      <c r="U81" s="121"/>
      <c r="V81" s="121"/>
      <c r="W81" s="121"/>
      <c r="X81" s="121"/>
      <c r="Y81" s="122"/>
      <c r="Z81" s="50"/>
      <c r="AE81" s="13"/>
    </row>
    <row r="82" spans="1:31" ht="15.75">
      <c r="A82" s="159"/>
      <c r="B82" s="414" t="s">
        <v>1079</v>
      </c>
      <c r="C82" s="525" t="s">
        <v>1126</v>
      </c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>
        <v>-5382</v>
      </c>
      <c r="P82" s="121">
        <v>-1613</v>
      </c>
      <c r="Q82" s="121"/>
      <c r="R82" s="121"/>
      <c r="S82" s="121"/>
      <c r="T82" s="121"/>
      <c r="U82" s="121"/>
      <c r="V82" s="121"/>
      <c r="W82" s="121"/>
      <c r="X82" s="121"/>
      <c r="Y82" s="122"/>
      <c r="Z82" s="50"/>
      <c r="AE82" s="13"/>
    </row>
    <row r="83" spans="1:31" ht="15.75">
      <c r="A83" s="159"/>
      <c r="B83" s="414" t="s">
        <v>1080</v>
      </c>
      <c r="C83" s="525" t="s">
        <v>1127</v>
      </c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>
        <v>-102500</v>
      </c>
      <c r="R83" s="121"/>
      <c r="S83" s="121"/>
      <c r="T83" s="121"/>
      <c r="U83" s="121"/>
      <c r="V83" s="121"/>
      <c r="W83" s="121"/>
      <c r="X83" s="121"/>
      <c r="Y83" s="122"/>
      <c r="Z83" s="50"/>
      <c r="AE83" s="13"/>
    </row>
    <row r="84" spans="1:31" ht="15.75">
      <c r="A84" s="159"/>
      <c r="B84" s="414" t="s">
        <v>1081</v>
      </c>
      <c r="C84" s="525" t="s">
        <v>1128</v>
      </c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>
        <v>-18800</v>
      </c>
      <c r="S84" s="121">
        <v>18800</v>
      </c>
      <c r="T84" s="121"/>
      <c r="U84" s="121"/>
      <c r="V84" s="121"/>
      <c r="W84" s="121"/>
      <c r="X84" s="121"/>
      <c r="Y84" s="122"/>
      <c r="Z84" s="50"/>
      <c r="AE84" s="13"/>
    </row>
    <row r="85" spans="1:31" ht="15.75">
      <c r="A85" s="159"/>
      <c r="B85" s="414" t="s">
        <v>1082</v>
      </c>
      <c r="C85" s="525" t="s">
        <v>1129</v>
      </c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>
        <v>-2926</v>
      </c>
      <c r="S85" s="121"/>
      <c r="T85" s="121"/>
      <c r="U85" s="121">
        <v>-21632</v>
      </c>
      <c r="V85" s="121">
        <v>0</v>
      </c>
      <c r="W85" s="121">
        <v>21632</v>
      </c>
      <c r="X85" s="121"/>
      <c r="Y85" s="122"/>
      <c r="Z85" s="50"/>
      <c r="AE85" s="13"/>
    </row>
    <row r="86" spans="1:31" ht="15.75">
      <c r="A86" s="159"/>
      <c r="B86" s="414" t="s">
        <v>1083</v>
      </c>
      <c r="C86" s="525" t="s">
        <v>1130</v>
      </c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>
        <v>-7332</v>
      </c>
      <c r="T86" s="121"/>
      <c r="U86" s="121"/>
      <c r="V86" s="121"/>
      <c r="W86" s="121"/>
      <c r="X86" s="121"/>
      <c r="Y86" s="122"/>
      <c r="Z86" s="50"/>
      <c r="AE86" s="13"/>
    </row>
    <row r="87" spans="1:31" ht="15.75">
      <c r="A87" s="159"/>
      <c r="B87" s="414" t="s">
        <v>1084</v>
      </c>
      <c r="C87" s="525" t="s">
        <v>1131</v>
      </c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>
        <v>-9011</v>
      </c>
      <c r="T87" s="121">
        <v>5779</v>
      </c>
      <c r="U87" s="121"/>
      <c r="V87" s="121"/>
      <c r="W87" s="121"/>
      <c r="X87" s="121"/>
      <c r="Y87" s="122"/>
      <c r="Z87" s="50"/>
      <c r="AE87" s="13"/>
    </row>
    <row r="88" spans="1:31" ht="15.75">
      <c r="A88" s="159"/>
      <c r="B88" s="414" t="s">
        <v>1085</v>
      </c>
      <c r="C88" s="525" t="s">
        <v>1132</v>
      </c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>
        <v>-35000</v>
      </c>
      <c r="U88" s="121"/>
      <c r="V88" s="121"/>
      <c r="W88" s="121"/>
      <c r="X88" s="121"/>
      <c r="Y88" s="122"/>
      <c r="Z88" s="50"/>
      <c r="AE88" s="13"/>
    </row>
    <row r="89" spans="1:31" ht="15.75">
      <c r="A89" s="159"/>
      <c r="B89" s="414" t="s">
        <v>1086</v>
      </c>
      <c r="C89" s="525" t="s">
        <v>1133</v>
      </c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>
        <v>-48739</v>
      </c>
      <c r="U89" s="121">
        <v>-54907</v>
      </c>
      <c r="V89" s="121"/>
      <c r="W89" s="121"/>
      <c r="X89" s="121"/>
      <c r="Y89" s="122"/>
      <c r="Z89" s="50"/>
      <c r="AE89" s="13"/>
    </row>
    <row r="90" spans="1:31" ht="15.75">
      <c r="A90" s="159"/>
      <c r="B90" s="414" t="s">
        <v>1087</v>
      </c>
      <c r="C90" s="525" t="s">
        <v>1134</v>
      </c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>
        <v>101090</v>
      </c>
      <c r="V90" s="121">
        <v>838</v>
      </c>
      <c r="W90" s="121"/>
      <c r="X90" s="121"/>
      <c r="Y90" s="122"/>
      <c r="Z90" s="50"/>
      <c r="AE90" s="13"/>
    </row>
    <row r="91" spans="1:31" ht="15.75">
      <c r="A91" s="159"/>
      <c r="B91" s="414" t="s">
        <v>1088</v>
      </c>
      <c r="C91" s="525" t="s">
        <v>1135</v>
      </c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>
        <v>-12000</v>
      </c>
      <c r="W91" s="121"/>
      <c r="X91" s="121">
        <v>-4100</v>
      </c>
      <c r="Y91" s="122"/>
      <c r="Z91" s="50"/>
      <c r="AE91" s="13"/>
    </row>
    <row r="92" spans="1:31" ht="15.75">
      <c r="A92" s="159"/>
      <c r="B92" s="414" t="s">
        <v>1089</v>
      </c>
      <c r="C92" s="525" t="s">
        <v>1136</v>
      </c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>
        <v>34566</v>
      </c>
      <c r="W92" s="121">
        <v>-34566</v>
      </c>
      <c r="X92" s="121"/>
      <c r="Y92" s="122"/>
      <c r="Z92" s="50"/>
      <c r="AE92" s="13"/>
    </row>
    <row r="93" spans="1:31" ht="15.75">
      <c r="A93" s="159"/>
      <c r="B93" s="414" t="s">
        <v>1090</v>
      </c>
      <c r="C93" s="525" t="s">
        <v>1137</v>
      </c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>
        <v>-43921</v>
      </c>
      <c r="W93" s="121">
        <v>43921</v>
      </c>
      <c r="X93" s="121"/>
      <c r="Y93" s="122"/>
      <c r="Z93" s="50"/>
      <c r="AE93" s="13"/>
    </row>
    <row r="94" spans="1:31" ht="15.75">
      <c r="A94" s="159"/>
      <c r="B94" s="414" t="s">
        <v>1091</v>
      </c>
      <c r="C94" s="525" t="s">
        <v>1138</v>
      </c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>
        <v>-3774</v>
      </c>
      <c r="X94" s="121"/>
      <c r="Y94" s="122"/>
      <c r="Z94" s="50"/>
      <c r="AE94" s="13"/>
    </row>
    <row r="95" spans="1:31" ht="15.75">
      <c r="A95" s="159"/>
      <c r="B95" s="414" t="s">
        <v>1092</v>
      </c>
      <c r="C95" s="525" t="s">
        <v>1139</v>
      </c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>
        <v>-53120</v>
      </c>
      <c r="X95" s="121">
        <v>11155</v>
      </c>
      <c r="Y95" s="122"/>
      <c r="Z95" s="50"/>
      <c r="AE95" s="13"/>
    </row>
    <row r="96" spans="1:31" ht="15.75">
      <c r="A96" s="159"/>
      <c r="B96" s="414" t="s">
        <v>1093</v>
      </c>
      <c r="C96" s="525" t="s">
        <v>1140</v>
      </c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>
        <v>20019</v>
      </c>
      <c r="U96" s="121">
        <v>11106</v>
      </c>
      <c r="V96" s="121">
        <v>-12287</v>
      </c>
      <c r="W96" s="121">
        <v>-3842</v>
      </c>
      <c r="X96" s="121">
        <v>2676</v>
      </c>
      <c r="Y96" s="122"/>
      <c r="Z96" s="50"/>
      <c r="AE96" s="13"/>
    </row>
    <row r="97" spans="1:54" ht="15.75">
      <c r="A97" s="159"/>
      <c r="B97" s="414" t="s">
        <v>1094</v>
      </c>
      <c r="C97" s="525" t="s">
        <v>1141</v>
      </c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>
        <v>317</v>
      </c>
      <c r="V97" s="121">
        <v>1187</v>
      </c>
      <c r="W97" s="121">
        <v>3519</v>
      </c>
      <c r="X97" s="121">
        <v>6300</v>
      </c>
      <c r="Y97" s="122"/>
      <c r="Z97" s="50"/>
      <c r="AE97" s="13"/>
    </row>
    <row r="98" spans="1:54" ht="15.75">
      <c r="A98" s="159"/>
      <c r="B98" s="414" t="s">
        <v>1095</v>
      </c>
      <c r="C98" s="525" t="s">
        <v>1142</v>
      </c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>
        <v>-592564</v>
      </c>
      <c r="W98" s="121">
        <v>-401479</v>
      </c>
      <c r="X98" s="121"/>
      <c r="Y98" s="122"/>
      <c r="Z98" s="50"/>
      <c r="AE98" s="13"/>
    </row>
    <row r="99" spans="1:54" ht="15.75">
      <c r="A99" s="159" t="s">
        <v>216</v>
      </c>
      <c r="B99" s="414" t="s">
        <v>1096</v>
      </c>
      <c r="C99" s="526" t="s">
        <v>1143</v>
      </c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>
        <v>-52290</v>
      </c>
      <c r="Y99" s="122"/>
      <c r="Z99" s="50"/>
      <c r="AE99" s="13"/>
      <c r="BB99" s="283" t="str">
        <f>CountryCode &amp; ".T2.OA2.S1311.MNAC." &amp; RefVintage</f>
        <v>HU.T2.OA2.S1311.MNAC.W.2020</v>
      </c>
    </row>
    <row r="100" spans="1:54" ht="15.75">
      <c r="A100" s="159" t="s">
        <v>217</v>
      </c>
      <c r="B100" s="414" t="s">
        <v>1097</v>
      </c>
      <c r="C100" s="526" t="s">
        <v>1144</v>
      </c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>
        <v>-23428</v>
      </c>
      <c r="Y100" s="122"/>
      <c r="Z100" s="50"/>
      <c r="AE100" s="13"/>
      <c r="BB100" s="283" t="str">
        <f>CountryCode &amp; ".T2.OA3.S1311.MNAC." &amp; RefVintage</f>
        <v>HU.T2.OA3.S1311.MNAC.W.2020</v>
      </c>
    </row>
    <row r="101" spans="1:54" ht="15.75">
      <c r="A101" s="159" t="s">
        <v>218</v>
      </c>
      <c r="B101" s="414" t="s">
        <v>1098</v>
      </c>
      <c r="C101" s="526" t="s">
        <v>1145</v>
      </c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>
        <v>-47149</v>
      </c>
      <c r="Y101" s="122"/>
      <c r="Z101" s="50"/>
      <c r="AE101" s="13"/>
      <c r="BB101" s="283" t="str">
        <f>CountryCode &amp; ".T2.OA4.S1311.MNAC." &amp; RefVintage</f>
        <v>HU.T2.OA4.S1311.MNAC.W.2020</v>
      </c>
    </row>
    <row r="102" spans="1:54" ht="15.75">
      <c r="A102" s="159" t="s">
        <v>219</v>
      </c>
      <c r="B102" s="414" t="s">
        <v>1099</v>
      </c>
      <c r="C102" s="526" t="s">
        <v>1146</v>
      </c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>
        <v>-30495</v>
      </c>
      <c r="Y102" s="122"/>
      <c r="Z102" s="50"/>
      <c r="AE102" s="13"/>
      <c r="BB102" s="283" t="str">
        <f>CountryCode &amp; ".T2.OA5.S1311.MNAC." &amp; RefVintage</f>
        <v>HU.T2.OA5.S1311.MNAC.W.2020</v>
      </c>
    </row>
    <row r="103" spans="1:54" ht="16.5" thickBot="1">
      <c r="A103" s="290"/>
      <c r="B103" s="421"/>
      <c r="C103" s="162"/>
      <c r="D103" s="127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3"/>
      <c r="Z103" s="50"/>
      <c r="AE103" s="13"/>
    </row>
    <row r="104" spans="1:54" ht="17.25" thickTop="1" thickBot="1">
      <c r="A104" s="290" t="s">
        <v>220</v>
      </c>
      <c r="B104" s="414" t="s">
        <v>982</v>
      </c>
      <c r="C104" s="312" t="s">
        <v>564</v>
      </c>
      <c r="D104" s="86">
        <v>-509787.34100000001</v>
      </c>
      <c r="E104" s="86">
        <v>-380253</v>
      </c>
      <c r="F104" s="86">
        <v>-497290.83999999997</v>
      </c>
      <c r="G104" s="86">
        <v>-708854.60909090913</v>
      </c>
      <c r="H104" s="86">
        <v>-595541</v>
      </c>
      <c r="I104" s="86">
        <v>-354854</v>
      </c>
      <c r="J104" s="86">
        <v>-703875</v>
      </c>
      <c r="K104" s="86">
        <v>-1332869</v>
      </c>
      <c r="L104" s="86">
        <v>-1102996</v>
      </c>
      <c r="M104" s="86">
        <v>-1270681</v>
      </c>
      <c r="N104" s="86">
        <v>-1599693</v>
      </c>
      <c r="O104" s="86">
        <v>-2439617</v>
      </c>
      <c r="P104" s="86">
        <v>-1456874</v>
      </c>
      <c r="Q104" s="86">
        <v>-968598</v>
      </c>
      <c r="R104" s="86">
        <v>-1046412</v>
      </c>
      <c r="S104" s="86">
        <v>-1032846</v>
      </c>
      <c r="T104" s="86">
        <v>-1664946</v>
      </c>
      <c r="U104" s="86">
        <v>-809602.23800000001</v>
      </c>
      <c r="V104" s="87">
        <v>-1676570.5</v>
      </c>
      <c r="W104" s="87">
        <v>-1394670.2132009999</v>
      </c>
      <c r="X104" s="87">
        <v>-761145.64806399983</v>
      </c>
      <c r="Y104" s="4"/>
      <c r="Z104" s="49"/>
      <c r="AE104" s="13"/>
      <c r="BB104" s="283" t="str">
        <f>CountryCode &amp; ".T2.B9.S1311.MNAC." &amp; RefVintage</f>
        <v>HU.T2.B9.S1311.MNAC.W.2020</v>
      </c>
    </row>
    <row r="105" spans="1:54" ht="16.5" thickTop="1">
      <c r="A105" s="244"/>
      <c r="B105" s="288"/>
      <c r="C105" s="313" t="s">
        <v>472</v>
      </c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50"/>
      <c r="AA105" s="13"/>
    </row>
    <row r="106" spans="1:54" ht="9" customHeight="1">
      <c r="A106" s="244"/>
      <c r="B106" s="288"/>
      <c r="C106" s="164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50"/>
      <c r="AA106" s="13"/>
    </row>
    <row r="107" spans="1:54" s="23" customFormat="1" ht="15.75">
      <c r="A107" s="244"/>
      <c r="B107" s="288"/>
      <c r="C107" s="314" t="s">
        <v>88</v>
      </c>
      <c r="D107" s="315"/>
      <c r="E107" s="220"/>
      <c r="F107" s="220"/>
      <c r="G107" s="220"/>
      <c r="H107" s="220"/>
      <c r="I107" s="220"/>
      <c r="J107" s="220"/>
      <c r="K107" s="220"/>
      <c r="L107" s="220"/>
      <c r="M107" s="220"/>
      <c r="N107" s="22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0"/>
      <c r="Z107" s="50"/>
      <c r="AA107" s="13"/>
      <c r="BB107" s="315"/>
    </row>
    <row r="108" spans="1:54" ht="15.75">
      <c r="A108" s="244"/>
      <c r="B108" s="288"/>
      <c r="C108" s="224" t="s">
        <v>91</v>
      </c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0"/>
      <c r="Z108" s="50"/>
      <c r="AA108" s="13"/>
    </row>
    <row r="109" spans="1:54" ht="12" customHeight="1" thickBot="1">
      <c r="A109" s="165"/>
      <c r="B109" s="208"/>
      <c r="C109" s="166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2"/>
      <c r="AB109" s="13"/>
    </row>
    <row r="110" spans="1:54" ht="16.5" thickTop="1">
      <c r="D110" s="53"/>
    </row>
    <row r="111" spans="1:54">
      <c r="C111" s="54"/>
    </row>
    <row r="112" spans="1:54" ht="15.75" customHeight="1">
      <c r="C112" s="193" t="s">
        <v>120</v>
      </c>
      <c r="D112" s="543" t="str">
        <f>IF(COUNTA(D8:W8,D11:W18,D22:W22,D26:W26,D28:W28,D37:W37,D48:W49,D55:W55,D104:W104)/340*100=100,"OK - Table 2A is fully completed","WARNING - Table 2A is not fully completed, please fill in figure, L, M or 0")</f>
        <v>OK - Table 2A is fully completed</v>
      </c>
      <c r="E112" s="543"/>
      <c r="F112" s="543"/>
      <c r="G112" s="543"/>
      <c r="H112" s="543"/>
      <c r="I112" s="543"/>
      <c r="J112" s="543"/>
      <c r="K112" s="543"/>
      <c r="L112" s="543"/>
      <c r="M112" s="543"/>
      <c r="N112" s="543"/>
      <c r="O112" s="543"/>
      <c r="P112" s="543"/>
      <c r="Q112" s="543"/>
      <c r="R112" s="543"/>
      <c r="S112" s="543"/>
      <c r="T112" s="543"/>
      <c r="U112" s="543"/>
      <c r="V112" s="543"/>
      <c r="W112" s="543"/>
      <c r="X112" s="543"/>
      <c r="Y112" s="316"/>
      <c r="Z112" s="195"/>
    </row>
    <row r="113" spans="1:26">
      <c r="C113" s="196" t="s">
        <v>121</v>
      </c>
      <c r="D113" s="197"/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197"/>
      <c r="Z113" s="198"/>
    </row>
    <row r="114" spans="1:26" ht="25.5" customHeight="1">
      <c r="C114" s="317" t="s">
        <v>538</v>
      </c>
      <c r="D114" s="318">
        <f>IF(AND(D104="0",D8="0",D11="0",D22="0",D26="0",D28="0",D37="0",D48="0",D49="0",D55="0"),0,IF(AND(D104="L",D8="L",D11="L",D22="L",D26="L",D28="L",D37="L",D48="L",D49="L",D55="L"),"NC",IF(D104="M",0,D104)-IF(D8="M",0,D8)-IF(D11="M",0,D11)-IF(D22="M",0,D22)-IF(D26="M",0,D26)-IF(D28="M",0,D28)-IF(D37="M",0,D37)-IF(D48="M",0,D48)-IF(D49="M",0,D49)-IF(D55="M",0,D55)))</f>
        <v>0</v>
      </c>
      <c r="E114" s="318">
        <f t="shared" ref="E114:S114" si="18">IF(AND(E104="0",E8="0",E11="0",E22="0",E26="0",E28="0",E37="0",E48="0",E49="0",E55="0"),0,IF(AND(E104="L",E8="L",E11="L",E22="L",E26="L",E28="L",E37="L",E48="L",E49="L",E55="L"),"NC",IF(E104="M",0,E104)-IF(E8="M",0,E8)-IF(E11="M",0,E11)-IF(E22="M",0,E22)-IF(E26="M",0,E26)-IF(E28="M",0,E28)-IF(E37="M",0,E37)-IF(E48="M",0,E48)-IF(E49="M",0,E49)-IF(E55="M",0,E55)))</f>
        <v>0</v>
      </c>
      <c r="F114" s="318">
        <f t="shared" si="18"/>
        <v>2.9103830456733704E-11</v>
      </c>
      <c r="G114" s="318">
        <f t="shared" si="18"/>
        <v>-4.3655745685100555E-11</v>
      </c>
      <c r="H114" s="318">
        <f t="shared" si="18"/>
        <v>0</v>
      </c>
      <c r="I114" s="318">
        <f t="shared" si="18"/>
        <v>0</v>
      </c>
      <c r="J114" s="318">
        <f t="shared" si="18"/>
        <v>0</v>
      </c>
      <c r="K114" s="318">
        <f t="shared" si="18"/>
        <v>0</v>
      </c>
      <c r="L114" s="318">
        <f t="shared" si="18"/>
        <v>0</v>
      </c>
      <c r="M114" s="318">
        <f t="shared" si="18"/>
        <v>0</v>
      </c>
      <c r="N114" s="318">
        <f t="shared" si="18"/>
        <v>0</v>
      </c>
      <c r="O114" s="318">
        <f t="shared" si="18"/>
        <v>0</v>
      </c>
      <c r="P114" s="318">
        <f t="shared" si="18"/>
        <v>0</v>
      </c>
      <c r="Q114" s="318">
        <f t="shared" si="18"/>
        <v>0</v>
      </c>
      <c r="R114" s="318">
        <f t="shared" si="18"/>
        <v>0</v>
      </c>
      <c r="S114" s="318">
        <f t="shared" si="18"/>
        <v>0</v>
      </c>
      <c r="T114" s="318">
        <f t="shared" ref="T114:V114" si="19">IF(AND(T104="0",T8="0",T11="0",T22="0",T26="0",T28="0",T37="0",T48="0",T49="0",T55="0"),0,IF(AND(T104="L",T8="L",T11="L",T22="L",T26="L",T28="L",T37="L",T48="L",T49="L",T55="L"),"NC",IF(T104="M",0,T104)-IF(T8="M",0,T8)-IF(T11="M",0,T11)-IF(T22="M",0,T22)-IF(T26="M",0,T26)-IF(T28="M",0,T28)-IF(T37="M",0,T37)-IF(T48="M",0,T48)-IF(T49="M",0,T49)-IF(T55="M",0,T55)))</f>
        <v>0</v>
      </c>
      <c r="U114" s="318">
        <f t="shared" si="19"/>
        <v>-1.4551915228366852E-11</v>
      </c>
      <c r="V114" s="318">
        <f t="shared" si="19"/>
        <v>0</v>
      </c>
      <c r="W114" s="318">
        <f t="shared" ref="W114:X114" si="20">IF(AND(W104="0",W8="0",W11="0",W22="0",W26="0",W28="0",W37="0",W48="0",W49="0",W55="0"),0,IF(AND(W104="L",W8="L",W11="L",W22="L",W26="L",W28="L",W37="L",W48="L",W49="L",W55="L"),"NC",IF(W104="M",0,W104)-IF(W8="M",0,W8)-IF(W11="M",0,W11)-IF(W22="M",0,W22)-IF(W26="M",0,W26)-IF(W28="M",0,W28)-IF(W37="M",0,W37)-IF(W48="M",0,W48)-IF(W49="M",0,W49)-IF(W55="M",0,W55)))</f>
        <v>0</v>
      </c>
      <c r="X114" s="318">
        <f t="shared" si="20"/>
        <v>0</v>
      </c>
      <c r="Y114" s="197"/>
      <c r="Z114" s="198"/>
    </row>
    <row r="115" spans="1:26" ht="15.75">
      <c r="C115" s="317" t="s">
        <v>125</v>
      </c>
      <c r="D115" s="318">
        <f>IF(AND(D11="0",D12="0",D13="0",D14="0",D15="0",D16="0"),0,IF(AND(D11="L",D12="L",D13="L",D14="L",D15="L",D16="L"),"NC",IF(D11="M",0,D11)-IF(D12="M",0,D12)-IF(D13="M",0,D13)-IF(D14="M",0,D14)-IF(D15="M",0,D15)-IF(D16="M",0,D16)))</f>
        <v>0</v>
      </c>
      <c r="E115" s="318">
        <f t="shared" ref="E115:S115" si="21">IF(AND(E11="0",E12="0",E13="0",E14="0",E15="0",E16="0"),0,IF(AND(E11="L",E12="L",E13="L",E14="L",E15="L",E16="L"),"NC",IF(E11="M",0,E11)-IF(E12="M",0,E12)-IF(E13="M",0,E13)-IF(E14="M",0,E14)-IF(E15="M",0,E15)-IF(E16="M",0,E16)))</f>
        <v>0</v>
      </c>
      <c r="F115" s="318">
        <f t="shared" si="21"/>
        <v>0</v>
      </c>
      <c r="G115" s="318">
        <f t="shared" si="21"/>
        <v>0</v>
      </c>
      <c r="H115" s="318">
        <f t="shared" si="21"/>
        <v>0</v>
      </c>
      <c r="I115" s="318">
        <f t="shared" si="21"/>
        <v>0</v>
      </c>
      <c r="J115" s="318">
        <f t="shared" si="21"/>
        <v>0</v>
      </c>
      <c r="K115" s="318">
        <f t="shared" si="21"/>
        <v>0</v>
      </c>
      <c r="L115" s="318">
        <f t="shared" si="21"/>
        <v>0</v>
      </c>
      <c r="M115" s="318">
        <f t="shared" si="21"/>
        <v>0</v>
      </c>
      <c r="N115" s="318">
        <f t="shared" si="21"/>
        <v>0</v>
      </c>
      <c r="O115" s="318">
        <f t="shared" si="21"/>
        <v>0</v>
      </c>
      <c r="P115" s="318">
        <f t="shared" si="21"/>
        <v>0</v>
      </c>
      <c r="Q115" s="318">
        <f t="shared" si="21"/>
        <v>0</v>
      </c>
      <c r="R115" s="318">
        <f t="shared" si="21"/>
        <v>0</v>
      </c>
      <c r="S115" s="318">
        <f t="shared" si="21"/>
        <v>0</v>
      </c>
      <c r="T115" s="318">
        <f t="shared" ref="T115:V115" si="22">IF(AND(T11="0",T12="0",T13="0",T14="0",T15="0",T16="0"),0,IF(AND(T11="L",T12="L",T13="L",T14="L",T15="L",T16="L"),"NC",IF(T11="M",0,T11)-IF(T12="M",0,T12)-IF(T13="M",0,T13)-IF(T14="M",0,T14)-IF(T15="M",0,T15)-IF(T16="M",0,T16)))</f>
        <v>0</v>
      </c>
      <c r="U115" s="318">
        <f t="shared" si="22"/>
        <v>0</v>
      </c>
      <c r="V115" s="318">
        <f t="shared" si="22"/>
        <v>0</v>
      </c>
      <c r="W115" s="318">
        <f t="shared" ref="W115:X115" si="23">IF(AND(W11="0",W12="0",W13="0",W14="0",W15="0",W16="0"),0,IF(AND(W11="L",W12="L",W13="L",W14="L",W15="L",W16="L"),"NC",IF(W11="M",0,W11)-IF(W12="M",0,W12)-IF(W13="M",0,W13)-IF(W14="M",0,W14)-IF(W15="M",0,W15)-IF(W16="M",0,W16)))</f>
        <v>-1.4551915228366852E-11</v>
      </c>
      <c r="X115" s="318">
        <f t="shared" si="23"/>
        <v>0</v>
      </c>
      <c r="Y115" s="197"/>
      <c r="Z115" s="198"/>
    </row>
    <row r="116" spans="1:26" ht="15.75">
      <c r="C116" s="317" t="s">
        <v>126</v>
      </c>
      <c r="D116" s="318">
        <f>IF(AND(D55="0",D56="0",D99="0",D100="0",D101="0",D102="0",D103="0"),0,IF(AND(D55="L",D56="L",D99="L",D100="L",D101="L",D102="L",D103="L"),"NC",D55-SUM(D56:D103)))</f>
        <v>0</v>
      </c>
      <c r="E116" s="318">
        <f t="shared" ref="E116:S116" si="24">IF(AND(E55="0",E56="0",E99="0",E100="0",E101="0",E102="0",E103="0"),0,IF(AND(E55="L",E56="L",E99="L",E100="L",E101="L",E102="L",E103="L"),"NC",E55-SUM(E56:E103)))</f>
        <v>0</v>
      </c>
      <c r="F116" s="318">
        <f t="shared" si="24"/>
        <v>0</v>
      </c>
      <c r="G116" s="318">
        <f t="shared" si="24"/>
        <v>0</v>
      </c>
      <c r="H116" s="318">
        <f t="shared" si="24"/>
        <v>0</v>
      </c>
      <c r="I116" s="318">
        <f t="shared" si="24"/>
        <v>0</v>
      </c>
      <c r="J116" s="318">
        <f t="shared" si="24"/>
        <v>0</v>
      </c>
      <c r="K116" s="318">
        <f t="shared" si="24"/>
        <v>0</v>
      </c>
      <c r="L116" s="318">
        <f t="shared" si="24"/>
        <v>0</v>
      </c>
      <c r="M116" s="318">
        <f t="shared" si="24"/>
        <v>0</v>
      </c>
      <c r="N116" s="318">
        <f t="shared" si="24"/>
        <v>0</v>
      </c>
      <c r="O116" s="318">
        <f t="shared" si="24"/>
        <v>0</v>
      </c>
      <c r="P116" s="318">
        <f t="shared" si="24"/>
        <v>0</v>
      </c>
      <c r="Q116" s="318">
        <f t="shared" si="24"/>
        <v>0</v>
      </c>
      <c r="R116" s="318">
        <f t="shared" si="24"/>
        <v>0</v>
      </c>
      <c r="S116" s="318">
        <f t="shared" si="24"/>
        <v>0</v>
      </c>
      <c r="T116" s="318">
        <f t="shared" ref="T116:V116" si="25">IF(AND(T55="0",T56="0",T99="0",T100="0",T101="0",T102="0",T103="0"),0,IF(AND(T55="L",T56="L",T99="L",T100="L",T101="L",T102="L",T103="L"),"NC",T55-SUM(T56:T103)))</f>
        <v>0</v>
      </c>
      <c r="U116" s="318">
        <f t="shared" si="25"/>
        <v>0</v>
      </c>
      <c r="V116" s="318">
        <f t="shared" si="25"/>
        <v>0</v>
      </c>
      <c r="W116" s="318">
        <f t="shared" ref="W116:X116" si="26">IF(AND(W55="0",W56="0",W99="0",W100="0",W101="0",W102="0",W103="0"),0,IF(AND(W55="L",W56="L",W99="L",W100="L",W101="L",W102="L",W103="L"),"NC",W55-SUM(W56:W103)))</f>
        <v>0</v>
      </c>
      <c r="X116" s="318">
        <f t="shared" si="26"/>
        <v>0</v>
      </c>
      <c r="Y116" s="197"/>
      <c r="Z116" s="198"/>
    </row>
    <row r="117" spans="1:26" ht="15.75">
      <c r="A117" s="24"/>
      <c r="C117" s="319" t="s">
        <v>127</v>
      </c>
      <c r="D117" s="200"/>
      <c r="E117" s="200"/>
      <c r="F117" s="200"/>
      <c r="G117" s="200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  <c r="R117" s="200"/>
      <c r="S117" s="200"/>
      <c r="T117" s="200"/>
      <c r="U117" s="200"/>
      <c r="V117" s="200"/>
      <c r="W117" s="200"/>
      <c r="X117" s="200"/>
      <c r="Y117" s="197"/>
      <c r="Z117" s="198"/>
    </row>
    <row r="118" spans="1:26" ht="15.75">
      <c r="A118" s="24"/>
      <c r="C118" s="320" t="s">
        <v>128</v>
      </c>
      <c r="D118" s="203">
        <f>IF(AND('Table 1'!E11="0",'Table 2A'!D104="0"),0,IF(AND('Table 1'!E11="L",'Table 2A'!D104="L"),"NC",IF('Table 1'!E11="M",0,'Table 1'!E11)-IF('Table 2A'!D104="M",0,'Table 2A'!D104)))</f>
        <v>0</v>
      </c>
      <c r="E118" s="203">
        <f>IF(AND('Table 1'!F11="0",'Table 2A'!E104="0"),0,IF(AND('Table 1'!F11="L",'Table 2A'!E104="L"),"NC",IF('Table 1'!F11="M",0,'Table 1'!F11)-IF('Table 2A'!E104="M",0,'Table 2A'!E104)))</f>
        <v>0</v>
      </c>
      <c r="F118" s="203">
        <f>IF(AND('Table 1'!G11="0",'Table 2A'!F104="0"),0,IF(AND('Table 1'!G11="L",'Table 2A'!F104="L"),"NC",IF('Table 1'!G11="M",0,'Table 1'!G11)-IF('Table 2A'!F104="M",0,'Table 2A'!F104)))</f>
        <v>0</v>
      </c>
      <c r="G118" s="203">
        <f>IF(AND('Table 1'!H11="0",'Table 2A'!G104="0"),0,IF(AND('Table 1'!H11="L",'Table 2A'!G104="L"),"NC",IF('Table 1'!H11="M",0,'Table 1'!H11)-IF('Table 2A'!G104="M",0,'Table 2A'!G104)))</f>
        <v>0</v>
      </c>
      <c r="H118" s="203">
        <f>IF(AND('Table 1'!I11="0",'Table 2A'!H104="0"),0,IF(AND('Table 1'!I11="L",'Table 2A'!H104="L"),"NC",IF('Table 1'!I11="M",0,'Table 1'!I11)-IF('Table 2A'!H104="M",0,'Table 2A'!H104)))</f>
        <v>0</v>
      </c>
      <c r="I118" s="203">
        <f>IF(AND('Table 1'!J11="0",'Table 2A'!I104="0"),0,IF(AND('Table 1'!J11="L",'Table 2A'!I104="L"),"NC",IF('Table 1'!J11="M",0,'Table 1'!J11)-IF('Table 2A'!I104="M",0,'Table 2A'!I104)))</f>
        <v>0</v>
      </c>
      <c r="J118" s="203">
        <f>IF(AND('Table 1'!K11="0",'Table 2A'!J104="0"),0,IF(AND('Table 1'!K11="L",'Table 2A'!J104="L"),"NC",IF('Table 1'!K11="M",0,'Table 1'!K11)-IF('Table 2A'!J104="M",0,'Table 2A'!J104)))</f>
        <v>0</v>
      </c>
      <c r="K118" s="203">
        <f>IF(AND('Table 1'!L11="0",'Table 2A'!K104="0"),0,IF(AND('Table 1'!L11="L",'Table 2A'!K104="L"),"NC",IF('Table 1'!L11="M",0,'Table 1'!L11)-IF('Table 2A'!K104="M",0,'Table 2A'!K104)))</f>
        <v>0</v>
      </c>
      <c r="L118" s="203">
        <f>IF(AND('Table 1'!M11="0",'Table 2A'!L104="0"),0,IF(AND('Table 1'!M11="L",'Table 2A'!L104="L"),"NC",IF('Table 1'!M11="M",0,'Table 1'!M11)-IF('Table 2A'!L104="M",0,'Table 2A'!L104)))</f>
        <v>0</v>
      </c>
      <c r="M118" s="203">
        <f>IF(AND('Table 1'!N11="0",'Table 2A'!M104="0"),0,IF(AND('Table 1'!N11="L",'Table 2A'!M104="L"),"NC",IF('Table 1'!N11="M",0,'Table 1'!N11)-IF('Table 2A'!M104="M",0,'Table 2A'!M104)))</f>
        <v>0</v>
      </c>
      <c r="N118" s="203">
        <f>IF(AND('Table 1'!O11="0",'Table 2A'!N104="0"),0,IF(AND('Table 1'!O11="L",'Table 2A'!N104="L"),"NC",IF('Table 1'!O11="M",0,'Table 1'!O11)-IF('Table 2A'!N104="M",0,'Table 2A'!N104)))</f>
        <v>0</v>
      </c>
      <c r="O118" s="203">
        <f>IF(AND('Table 1'!P11="0",'Table 2A'!O104="0"),0,IF(AND('Table 1'!P11="L",'Table 2A'!O104="L"),"NC",IF('Table 1'!P11="M",0,'Table 1'!P11)-IF('Table 2A'!O104="M",0,'Table 2A'!O104)))</f>
        <v>0</v>
      </c>
      <c r="P118" s="203">
        <f>IF(AND('Table 1'!Q11="0",'Table 2A'!P104="0"),0,IF(AND('Table 1'!Q11="L",'Table 2A'!P104="L"),"NC",IF('Table 1'!Q11="M",0,'Table 1'!Q11)-IF('Table 2A'!P104="M",0,'Table 2A'!P104)))</f>
        <v>0</v>
      </c>
      <c r="Q118" s="203">
        <f>IF(AND('Table 1'!R11="0",'Table 2A'!Q104="0"),0,IF(AND('Table 1'!R11="L",'Table 2A'!Q104="L"),"NC",IF('Table 1'!R11="M",0,'Table 1'!R11)-IF('Table 2A'!Q104="M",0,'Table 2A'!Q104)))</f>
        <v>0</v>
      </c>
      <c r="R118" s="203">
        <f>IF(AND('Table 1'!S11="0",'Table 2A'!R104="0"),0,IF(AND('Table 1'!S11="L",'Table 2A'!R104="L"),"NC",IF('Table 1'!S11="M",0,'Table 1'!S11)-IF('Table 2A'!R104="M",0,'Table 2A'!R104)))</f>
        <v>0</v>
      </c>
      <c r="S118" s="203">
        <f>IF(AND('Table 1'!T11="0",'Table 2A'!S104="0"),0,IF(AND('Table 1'!T11="L",'Table 2A'!S104="L"),"NC",IF('Table 1'!T11="M",0,'Table 1'!T11)-IF('Table 2A'!S104="M",0,'Table 2A'!S104)))</f>
        <v>0</v>
      </c>
      <c r="T118" s="203">
        <f>IF(AND('Table 1'!U11="0",'Table 2A'!T104="0"),0,IF(AND('Table 1'!U11="L",'Table 2A'!T104="L"),"NC",IF('Table 1'!U11="M",0,'Table 1'!U11)-IF('Table 2A'!T104="M",0,'Table 2A'!T104)))</f>
        <v>0</v>
      </c>
      <c r="U118" s="203">
        <f>IF(AND('Table 1'!V11="0",'Table 2A'!U104="0"),0,IF(AND('Table 1'!V11="L",'Table 2A'!U104="L"),"NC",IF('Table 1'!V11="M",0,'Table 1'!V11)-IF('Table 2A'!U104="M",0,'Table 2A'!U104)))</f>
        <v>0</v>
      </c>
      <c r="V118" s="203">
        <f>IF(AND('Table 1'!W11="0",'Table 2A'!V104="0"),0,IF(AND('Table 1'!W11="L",'Table 2A'!V104="L"),"NC",IF('Table 1'!W11="M",0,'Table 1'!W11)-IF('Table 2A'!V104="M",0,'Table 2A'!V104)))</f>
        <v>0</v>
      </c>
      <c r="W118" s="203">
        <f>IF(AND('Table 1'!X11="0",'Table 2A'!W104="0"),0,IF(AND('Table 1'!X11="L",'Table 2A'!W104="L"),"NC",IF('Table 1'!X11="M",0,'Table 1'!X11)-IF('Table 2A'!W104="M",0,'Table 2A'!W104)))</f>
        <v>0</v>
      </c>
      <c r="X118" s="203">
        <f>IF(AND('Table 1'!Y11="0",'Table 2A'!X104="0"),0,IF(AND('Table 1'!Y11="L",'Table 2A'!X104="L"),"NC",IF('Table 1'!Y11="M",0,'Table 1'!Y11)-IF('Table 2A'!X104="M",0,'Table 2A'!X104)))</f>
        <v>0</v>
      </c>
      <c r="Y118" s="321"/>
      <c r="Z118" s="322"/>
    </row>
    <row r="119" spans="1:26">
      <c r="A119" s="24"/>
    </row>
    <row r="120" spans="1:26">
      <c r="A120" s="24"/>
    </row>
  </sheetData>
  <sheetProtection algorithmName="SHA-512" hashValue="eCnbwcbuL0xLCQANtLaRz7SLJqUE8t4hSYDpb3lEY8HQ0KxcLJLtQV3mpkUEr6DXL1G5wcUkXlkFvsIMqkeoww==" saltValue="yirHGNNRfH34kxF86KjEjg==" spinCount="100000" sheet="1" objects="1" formatColumns="0" formatRows="0" insertRows="0" insertHyperlinks="0" deleteRows="0"/>
  <mergeCells count="2">
    <mergeCell ref="D4:X4"/>
    <mergeCell ref="D112:X112"/>
  </mergeCells>
  <phoneticPr fontId="35" type="noConversion"/>
  <conditionalFormatting sqref="D11:W18 D22:W22 D26:W26 D28:W28 D37:W37 D48:W49 D55:W55 D104:W104 D8:X8">
    <cfRule type="cellIs" dxfId="24" priority="4" operator="equal">
      <formula>""</formula>
    </cfRule>
  </conditionalFormatting>
  <conditionalFormatting sqref="D112">
    <cfRule type="expression" dxfId="23" priority="162" stopIfTrue="1">
      <formula>COUNTA(D8:V8,D11:V18,D22:V22,D26:V26,D28:V28,D37:V37,D48:V49,D55:V55,D104:V104)/323*100&lt;&gt;100</formula>
    </cfRule>
  </conditionalFormatting>
  <conditionalFormatting sqref="X11:X18 X22 X26 X28 X37 X48:X49 X55 X104">
    <cfRule type="cellIs" dxfId="2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X9">
      <formula1>$AB$1:$AB$4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BD57"/>
  <sheetViews>
    <sheetView showGridLines="0" defaultGridColor="0" topLeftCell="B1" colorId="22" zoomScale="80" zoomScaleNormal="80" zoomScaleSheetLayoutView="80" workbookViewId="0"/>
  </sheetViews>
  <sheetFormatPr defaultColWidth="9.77734375" defaultRowHeight="15"/>
  <cols>
    <col min="1" max="1" width="20.33203125" style="20" hidden="1" customWidth="1"/>
    <col min="2" max="2" width="41.5546875" style="20" customWidth="1"/>
    <col min="3" max="3" width="63.44140625" style="25" customWidth="1"/>
    <col min="4" max="24" width="12.77734375" style="10" customWidth="1"/>
    <col min="25" max="25" width="65.33203125" style="10" customWidth="1"/>
    <col min="26" max="26" width="5.33203125" style="10" customWidth="1"/>
    <col min="27" max="27" width="1" style="10" customWidth="1"/>
    <col min="28" max="28" width="1.6640625" style="10" customWidth="1"/>
    <col min="29" max="29" width="9.77734375" style="10"/>
    <col min="30" max="30" width="13.109375" style="10" customWidth="1"/>
    <col min="31" max="31" width="9.33203125" style="10" customWidth="1"/>
    <col min="32" max="53" width="9.77734375" style="10"/>
    <col min="54" max="54" width="9.77734375" style="283"/>
    <col min="55" max="16384" width="9.77734375" style="10"/>
  </cols>
  <sheetData>
    <row r="1" spans="1:56" ht="18">
      <c r="A1" s="284"/>
      <c r="B1" s="284"/>
      <c r="C1" s="155" t="s">
        <v>578</v>
      </c>
      <c r="D1" s="22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AB1" s="219" t="s">
        <v>454</v>
      </c>
      <c r="AC1" s="219" t="s">
        <v>1014</v>
      </c>
      <c r="AD1" s="219">
        <v>3</v>
      </c>
      <c r="AE1" s="219">
        <v>4</v>
      </c>
      <c r="AF1" s="219">
        <v>5</v>
      </c>
      <c r="AG1" s="219">
        <v>6</v>
      </c>
      <c r="AH1" s="219">
        <f>AG1+1</f>
        <v>7</v>
      </c>
      <c r="AI1" s="219">
        <f t="shared" ref="AI1:AT1" si="0">AH1+1</f>
        <v>8</v>
      </c>
      <c r="AJ1" s="219">
        <f t="shared" si="0"/>
        <v>9</v>
      </c>
      <c r="AK1" s="219">
        <f t="shared" si="0"/>
        <v>10</v>
      </c>
      <c r="AL1" s="219">
        <f t="shared" si="0"/>
        <v>11</v>
      </c>
      <c r="AM1" s="219">
        <f t="shared" si="0"/>
        <v>12</v>
      </c>
      <c r="AN1" s="219">
        <f t="shared" si="0"/>
        <v>13</v>
      </c>
      <c r="AO1" s="219">
        <f t="shared" si="0"/>
        <v>14</v>
      </c>
      <c r="AP1" s="219">
        <f t="shared" si="0"/>
        <v>15</v>
      </c>
      <c r="AQ1" s="219">
        <f t="shared" si="0"/>
        <v>16</v>
      </c>
      <c r="AR1" s="219">
        <f t="shared" si="0"/>
        <v>17</v>
      </c>
      <c r="AS1" s="219">
        <f t="shared" si="0"/>
        <v>18</v>
      </c>
      <c r="AT1" s="219">
        <f t="shared" si="0"/>
        <v>19</v>
      </c>
      <c r="AU1" s="419"/>
      <c r="AV1" s="419"/>
      <c r="AW1" s="419"/>
      <c r="AX1" s="419"/>
      <c r="AY1" s="419"/>
      <c r="AZ1" s="419"/>
      <c r="BA1" s="419"/>
      <c r="BB1" s="219"/>
      <c r="BC1" s="419"/>
      <c r="BD1" s="419"/>
    </row>
    <row r="2" spans="1:56" ht="11.25" customHeight="1" thickBot="1">
      <c r="A2" s="284"/>
      <c r="B2" s="284"/>
      <c r="C2" s="156"/>
      <c r="D2" s="295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AA2" s="13"/>
      <c r="AB2" s="219" t="s">
        <v>455</v>
      </c>
      <c r="AC2" s="219">
        <f>IF($AC$1='Cover page'!$N$2,0,1)</f>
        <v>0</v>
      </c>
    </row>
    <row r="3" spans="1:56" ht="17.25" thickTop="1" thickBot="1">
      <c r="A3" s="286"/>
      <c r="B3" s="326"/>
      <c r="C3" s="158"/>
      <c r="D3" s="297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40"/>
      <c r="Z3" s="41"/>
      <c r="AA3" s="13"/>
      <c r="AB3" s="219" t="s">
        <v>456</v>
      </c>
      <c r="AC3" s="283"/>
    </row>
    <row r="4" spans="1:56" ht="16.5" thickBot="1">
      <c r="A4" s="234"/>
      <c r="B4" s="231"/>
      <c r="C4" s="224" t="str">
        <f>'Cover page'!E13</f>
        <v>Member State: Hungary</v>
      </c>
      <c r="D4" s="541" t="s">
        <v>2</v>
      </c>
      <c r="E4" s="542"/>
      <c r="F4" s="542"/>
      <c r="G4" s="542"/>
      <c r="H4" s="542"/>
      <c r="I4" s="542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542"/>
      <c r="V4" s="542"/>
      <c r="W4" s="542"/>
      <c r="X4" s="542"/>
      <c r="Y4" s="43"/>
      <c r="Z4" s="44"/>
      <c r="AB4" s="219" t="s">
        <v>457</v>
      </c>
      <c r="AC4" s="283"/>
      <c r="AE4" s="13"/>
    </row>
    <row r="5" spans="1:56" ht="15.75">
      <c r="A5" s="234"/>
      <c r="B5" s="327" t="s">
        <v>485</v>
      </c>
      <c r="C5" s="332" t="s">
        <v>68</v>
      </c>
      <c r="D5" s="299">
        <f>'Table 1'!E5</f>
        <v>1995</v>
      </c>
      <c r="E5" s="299">
        <f>D5+1</f>
        <v>1996</v>
      </c>
      <c r="F5" s="299">
        <f t="shared" ref="F5:I5" si="1">E5+1</f>
        <v>1997</v>
      </c>
      <c r="G5" s="299">
        <f t="shared" si="1"/>
        <v>1998</v>
      </c>
      <c r="H5" s="299">
        <f t="shared" si="1"/>
        <v>1999</v>
      </c>
      <c r="I5" s="299">
        <f t="shared" si="1"/>
        <v>2000</v>
      </c>
      <c r="J5" s="299">
        <f t="shared" ref="J5" si="2">I5+1</f>
        <v>2001</v>
      </c>
      <c r="K5" s="299">
        <f t="shared" ref="K5" si="3">J5+1</f>
        <v>2002</v>
      </c>
      <c r="L5" s="299">
        <f t="shared" ref="L5" si="4">K5+1</f>
        <v>2003</v>
      </c>
      <c r="M5" s="299">
        <f t="shared" ref="M5" si="5">L5+1</f>
        <v>2004</v>
      </c>
      <c r="N5" s="299">
        <f t="shared" ref="N5" si="6">M5+1</f>
        <v>2005</v>
      </c>
      <c r="O5" s="299">
        <f t="shared" ref="O5" si="7">N5+1</f>
        <v>2006</v>
      </c>
      <c r="P5" s="299">
        <f t="shared" ref="P5" si="8">O5+1</f>
        <v>2007</v>
      </c>
      <c r="Q5" s="299">
        <f t="shared" ref="Q5" si="9">P5+1</f>
        <v>2008</v>
      </c>
      <c r="R5" s="299">
        <f t="shared" ref="R5" si="10">Q5+1</f>
        <v>2009</v>
      </c>
      <c r="S5" s="299">
        <f t="shared" ref="S5" si="11">R5+1</f>
        <v>2010</v>
      </c>
      <c r="T5" s="299">
        <f t="shared" ref="T5" si="12">S5+1</f>
        <v>2011</v>
      </c>
      <c r="U5" s="299">
        <f t="shared" ref="U5" si="13">T5+1</f>
        <v>2012</v>
      </c>
      <c r="V5" s="299">
        <f t="shared" ref="V5:X5" si="14">U5+1</f>
        <v>2013</v>
      </c>
      <c r="W5" s="299">
        <f t="shared" si="14"/>
        <v>2014</v>
      </c>
      <c r="X5" s="299">
        <f t="shared" si="14"/>
        <v>2015</v>
      </c>
      <c r="Y5" s="55"/>
      <c r="Z5" s="44"/>
      <c r="AE5" s="13"/>
    </row>
    <row r="6" spans="1:56" ht="15.75">
      <c r="A6" s="234"/>
      <c r="B6" s="288"/>
      <c r="C6" s="238" t="str">
        <f>'Cover page'!E14</f>
        <v>Date: 09/04/2020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85"/>
      <c r="W6" s="485"/>
      <c r="X6" s="485"/>
      <c r="Y6" s="47"/>
      <c r="Z6" s="44"/>
      <c r="AE6" s="13"/>
    </row>
    <row r="7" spans="1:56" ht="10.5" customHeight="1" thickBot="1">
      <c r="A7" s="234"/>
      <c r="B7" s="289"/>
      <c r="C7" s="16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513"/>
      <c r="W7" s="513"/>
      <c r="X7" s="513"/>
      <c r="Y7" s="33"/>
      <c r="Z7" s="44"/>
      <c r="AE7" s="13"/>
    </row>
    <row r="8" spans="1:56" ht="17.25" thickTop="1" thickBot="1">
      <c r="A8" s="290" t="s">
        <v>221</v>
      </c>
      <c r="B8" s="414" t="s">
        <v>718</v>
      </c>
      <c r="C8" s="306" t="s">
        <v>49</v>
      </c>
      <c r="D8" s="531" t="s">
        <v>1019</v>
      </c>
      <c r="E8" s="531" t="s">
        <v>1019</v>
      </c>
      <c r="F8" s="531" t="s">
        <v>1019</v>
      </c>
      <c r="G8" s="531" t="s">
        <v>1019</v>
      </c>
      <c r="H8" s="531" t="s">
        <v>1019</v>
      </c>
      <c r="I8" s="531" t="s">
        <v>1019</v>
      </c>
      <c r="J8" s="531" t="s">
        <v>1019</v>
      </c>
      <c r="K8" s="531" t="s">
        <v>1019</v>
      </c>
      <c r="L8" s="531" t="s">
        <v>1019</v>
      </c>
      <c r="M8" s="531" t="s">
        <v>1019</v>
      </c>
      <c r="N8" s="531" t="s">
        <v>1019</v>
      </c>
      <c r="O8" s="531" t="s">
        <v>1019</v>
      </c>
      <c r="P8" s="531" t="s">
        <v>1019</v>
      </c>
      <c r="Q8" s="531" t="s">
        <v>1019</v>
      </c>
      <c r="R8" s="531" t="s">
        <v>1019</v>
      </c>
      <c r="S8" s="531" t="s">
        <v>1019</v>
      </c>
      <c r="T8" s="531" t="s">
        <v>1019</v>
      </c>
      <c r="U8" s="531" t="s">
        <v>1019</v>
      </c>
      <c r="V8" s="531" t="s">
        <v>1019</v>
      </c>
      <c r="W8" s="531" t="s">
        <v>1019</v>
      </c>
      <c r="X8" s="531" t="s">
        <v>1019</v>
      </c>
      <c r="Y8" s="11"/>
      <c r="Z8" s="49"/>
      <c r="AE8" s="13"/>
      <c r="BB8" s="283" t="str">
        <f>CountryCode &amp; ".T2.WB.S1312.MNAC." &amp; RefVintage</f>
        <v>HU.T2.WB.S1312.MNAC.W.2020</v>
      </c>
    </row>
    <row r="9" spans="1:56" ht="16.5" thickTop="1">
      <c r="A9" s="290"/>
      <c r="B9" s="422"/>
      <c r="C9" s="307" t="s">
        <v>81</v>
      </c>
      <c r="D9" s="140" t="s">
        <v>454</v>
      </c>
      <c r="E9" s="140" t="s">
        <v>454</v>
      </c>
      <c r="F9" s="140" t="s">
        <v>454</v>
      </c>
      <c r="G9" s="140" t="s">
        <v>454</v>
      </c>
      <c r="H9" s="140" t="s">
        <v>454</v>
      </c>
      <c r="I9" s="140" t="s">
        <v>454</v>
      </c>
      <c r="J9" s="140" t="s">
        <v>454</v>
      </c>
      <c r="K9" s="140" t="s">
        <v>454</v>
      </c>
      <c r="L9" s="140" t="s">
        <v>454</v>
      </c>
      <c r="M9" s="140" t="s">
        <v>454</v>
      </c>
      <c r="N9" s="140" t="s">
        <v>454</v>
      </c>
      <c r="O9" s="140" t="s">
        <v>454</v>
      </c>
      <c r="P9" s="140" t="s">
        <v>454</v>
      </c>
      <c r="Q9" s="140" t="s">
        <v>456</v>
      </c>
      <c r="R9" s="140" t="s">
        <v>456</v>
      </c>
      <c r="S9" s="140" t="s">
        <v>456</v>
      </c>
      <c r="T9" s="140" t="s">
        <v>456</v>
      </c>
      <c r="U9" s="140" t="s">
        <v>456</v>
      </c>
      <c r="V9" s="140" t="s">
        <v>454</v>
      </c>
      <c r="W9" s="140" t="s">
        <v>454</v>
      </c>
      <c r="X9" s="140" t="s">
        <v>454</v>
      </c>
      <c r="Y9" s="132"/>
      <c r="Z9" s="50"/>
      <c r="AE9" s="13"/>
    </row>
    <row r="10" spans="1:56" ht="11.25" customHeight="1">
      <c r="A10" s="290"/>
      <c r="B10" s="422"/>
      <c r="C10" s="160"/>
      <c r="D10" s="506">
        <f t="shared" ref="D10:P10" si="15">IFERROR(VLOOKUP(D9,StatusTable,2,FALSE), -1)</f>
        <v>10</v>
      </c>
      <c r="E10" s="507">
        <f t="shared" si="15"/>
        <v>10</v>
      </c>
      <c r="F10" s="507">
        <f t="shared" si="15"/>
        <v>10</v>
      </c>
      <c r="G10" s="507">
        <f t="shared" si="15"/>
        <v>10</v>
      </c>
      <c r="H10" s="507">
        <f t="shared" si="15"/>
        <v>10</v>
      </c>
      <c r="I10" s="507">
        <f t="shared" si="15"/>
        <v>10</v>
      </c>
      <c r="J10" s="507">
        <f t="shared" si="15"/>
        <v>10</v>
      </c>
      <c r="K10" s="507">
        <f t="shared" si="15"/>
        <v>10</v>
      </c>
      <c r="L10" s="507">
        <f t="shared" si="15"/>
        <v>10</v>
      </c>
      <c r="M10" s="507">
        <f t="shared" si="15"/>
        <v>10</v>
      </c>
      <c r="N10" s="507">
        <f t="shared" si="15"/>
        <v>10</v>
      </c>
      <c r="O10" s="507">
        <f t="shared" si="15"/>
        <v>10</v>
      </c>
      <c r="P10" s="507">
        <f t="shared" si="15"/>
        <v>10</v>
      </c>
      <c r="Q10" s="507">
        <f t="shared" ref="Q10" si="16">IFERROR(VLOOKUP(Q9,StatusTable,2,FALSE), -1)</f>
        <v>12</v>
      </c>
      <c r="R10" s="507">
        <f t="shared" ref="R10" si="17">IFERROR(VLOOKUP(R9,StatusTable,2,FALSE), -1)</f>
        <v>12</v>
      </c>
      <c r="S10" s="507">
        <f t="shared" ref="S10:X10" si="18">IFERROR(VLOOKUP(S9,StatusTable,2,FALSE), -1)</f>
        <v>12</v>
      </c>
      <c r="T10" s="507">
        <f t="shared" si="18"/>
        <v>12</v>
      </c>
      <c r="U10" s="507">
        <f t="shared" si="18"/>
        <v>12</v>
      </c>
      <c r="V10" s="507">
        <f t="shared" si="18"/>
        <v>10</v>
      </c>
      <c r="W10" s="507">
        <f t="shared" si="18"/>
        <v>10</v>
      </c>
      <c r="X10" s="507">
        <f t="shared" si="18"/>
        <v>10</v>
      </c>
      <c r="Y10" s="118"/>
      <c r="Z10" s="50"/>
      <c r="AE10" s="13"/>
      <c r="BB10" s="283" t="str">
        <f>CountryCode &amp; ".T2.WB_STATUS.S1312.MNAC." &amp; RefVintage</f>
        <v>HU.T2.WB_STATUS.S1312.MNAC.W.2020</v>
      </c>
    </row>
    <row r="11" spans="1:56" ht="15.75">
      <c r="A11" s="290" t="s">
        <v>222</v>
      </c>
      <c r="B11" s="414" t="s">
        <v>719</v>
      </c>
      <c r="C11" s="308" t="s">
        <v>90</v>
      </c>
      <c r="D11" s="119" t="s">
        <v>1019</v>
      </c>
      <c r="E11" s="119" t="s">
        <v>1019</v>
      </c>
      <c r="F11" s="119" t="s">
        <v>1019</v>
      </c>
      <c r="G11" s="119" t="s">
        <v>1019</v>
      </c>
      <c r="H11" s="119" t="s">
        <v>1019</v>
      </c>
      <c r="I11" s="119" t="s">
        <v>1019</v>
      </c>
      <c r="J11" s="119" t="s">
        <v>1019</v>
      </c>
      <c r="K11" s="119" t="s">
        <v>1019</v>
      </c>
      <c r="L11" s="119" t="s">
        <v>1019</v>
      </c>
      <c r="M11" s="119" t="s">
        <v>1019</v>
      </c>
      <c r="N11" s="119" t="s">
        <v>1019</v>
      </c>
      <c r="O11" s="119" t="s">
        <v>1019</v>
      </c>
      <c r="P11" s="119" t="s">
        <v>1019</v>
      </c>
      <c r="Q11" s="119" t="s">
        <v>1019</v>
      </c>
      <c r="R11" s="119" t="s">
        <v>1019</v>
      </c>
      <c r="S11" s="119" t="s">
        <v>1019</v>
      </c>
      <c r="T11" s="119" t="s">
        <v>1019</v>
      </c>
      <c r="U11" s="119" t="s">
        <v>1019</v>
      </c>
      <c r="V11" s="119" t="s">
        <v>1019</v>
      </c>
      <c r="W11" s="119" t="s">
        <v>1019</v>
      </c>
      <c r="X11" s="119" t="s">
        <v>1019</v>
      </c>
      <c r="Y11" s="120"/>
      <c r="Z11" s="50"/>
      <c r="AE11" s="13"/>
      <c r="BB11" s="283" t="str">
        <f>CountryCode &amp; ".T2.FT.S1312.MNAC." &amp; RefVintage</f>
        <v>HU.T2.FT.S1312.MNAC.W.2020</v>
      </c>
    </row>
    <row r="12" spans="1:56" ht="15.75">
      <c r="A12" s="290" t="s">
        <v>223</v>
      </c>
      <c r="B12" s="414" t="s">
        <v>720</v>
      </c>
      <c r="C12" s="309" t="s">
        <v>52</v>
      </c>
      <c r="D12" s="119" t="s">
        <v>1019</v>
      </c>
      <c r="E12" s="119" t="s">
        <v>1019</v>
      </c>
      <c r="F12" s="119" t="s">
        <v>1019</v>
      </c>
      <c r="G12" s="119" t="s">
        <v>1019</v>
      </c>
      <c r="H12" s="119" t="s">
        <v>1019</v>
      </c>
      <c r="I12" s="119" t="s">
        <v>1019</v>
      </c>
      <c r="J12" s="119" t="s">
        <v>1019</v>
      </c>
      <c r="K12" s="119" t="s">
        <v>1019</v>
      </c>
      <c r="L12" s="119" t="s">
        <v>1019</v>
      </c>
      <c r="M12" s="119" t="s">
        <v>1019</v>
      </c>
      <c r="N12" s="119" t="s">
        <v>1019</v>
      </c>
      <c r="O12" s="119" t="s">
        <v>1019</v>
      </c>
      <c r="P12" s="119" t="s">
        <v>1019</v>
      </c>
      <c r="Q12" s="119" t="s">
        <v>1019</v>
      </c>
      <c r="R12" s="119" t="s">
        <v>1019</v>
      </c>
      <c r="S12" s="119" t="s">
        <v>1019</v>
      </c>
      <c r="T12" s="119" t="s">
        <v>1019</v>
      </c>
      <c r="U12" s="119" t="s">
        <v>1019</v>
      </c>
      <c r="V12" s="119" t="s">
        <v>1019</v>
      </c>
      <c r="W12" s="119" t="s">
        <v>1019</v>
      </c>
      <c r="X12" s="119" t="s">
        <v>1019</v>
      </c>
      <c r="Y12" s="120"/>
      <c r="Z12" s="50"/>
      <c r="AE12" s="13"/>
      <c r="BB12" s="283" t="str">
        <f>CountryCode &amp; ".T2.F4.S1312.MNAC." &amp; RefVintage</f>
        <v>HU.T2.F4.S1312.MNAC.W.2020</v>
      </c>
    </row>
    <row r="13" spans="1:56" ht="15.75">
      <c r="A13" s="290" t="s">
        <v>224</v>
      </c>
      <c r="B13" s="414" t="s">
        <v>721</v>
      </c>
      <c r="C13" s="310" t="s">
        <v>53</v>
      </c>
      <c r="D13" s="119" t="s">
        <v>1019</v>
      </c>
      <c r="E13" s="119" t="s">
        <v>1019</v>
      </c>
      <c r="F13" s="119" t="s">
        <v>1019</v>
      </c>
      <c r="G13" s="119" t="s">
        <v>1019</v>
      </c>
      <c r="H13" s="119" t="s">
        <v>1019</v>
      </c>
      <c r="I13" s="119" t="s">
        <v>1019</v>
      </c>
      <c r="J13" s="119" t="s">
        <v>1019</v>
      </c>
      <c r="K13" s="119" t="s">
        <v>1019</v>
      </c>
      <c r="L13" s="119" t="s">
        <v>1019</v>
      </c>
      <c r="M13" s="119" t="s">
        <v>1019</v>
      </c>
      <c r="N13" s="119" t="s">
        <v>1019</v>
      </c>
      <c r="O13" s="119" t="s">
        <v>1019</v>
      </c>
      <c r="P13" s="119" t="s">
        <v>1019</v>
      </c>
      <c r="Q13" s="119" t="s">
        <v>1019</v>
      </c>
      <c r="R13" s="119" t="s">
        <v>1019</v>
      </c>
      <c r="S13" s="119" t="s">
        <v>1019</v>
      </c>
      <c r="T13" s="119" t="s">
        <v>1019</v>
      </c>
      <c r="U13" s="119" t="s">
        <v>1019</v>
      </c>
      <c r="V13" s="119" t="s">
        <v>1019</v>
      </c>
      <c r="W13" s="119" t="s">
        <v>1019</v>
      </c>
      <c r="X13" s="119" t="s">
        <v>1019</v>
      </c>
      <c r="Y13" s="120"/>
      <c r="Z13" s="50"/>
      <c r="AE13" s="13"/>
      <c r="BB13" s="283" t="str">
        <f>CountryCode &amp; ".T2.F5.S1312.MNAC." &amp; RefVintage</f>
        <v>HU.T2.F5.S1312.MNAC.W.2020</v>
      </c>
    </row>
    <row r="14" spans="1:56" ht="15.75">
      <c r="A14" s="290" t="s">
        <v>225</v>
      </c>
      <c r="B14" s="414" t="s">
        <v>722</v>
      </c>
      <c r="C14" s="310" t="s">
        <v>34</v>
      </c>
      <c r="D14" s="119" t="s">
        <v>1019</v>
      </c>
      <c r="E14" s="119" t="s">
        <v>1019</v>
      </c>
      <c r="F14" s="119" t="s">
        <v>1019</v>
      </c>
      <c r="G14" s="119" t="s">
        <v>1019</v>
      </c>
      <c r="H14" s="119" t="s">
        <v>1019</v>
      </c>
      <c r="I14" s="119" t="s">
        <v>1019</v>
      </c>
      <c r="J14" s="119" t="s">
        <v>1019</v>
      </c>
      <c r="K14" s="119" t="s">
        <v>1019</v>
      </c>
      <c r="L14" s="119" t="s">
        <v>1019</v>
      </c>
      <c r="M14" s="119" t="s">
        <v>1019</v>
      </c>
      <c r="N14" s="119" t="s">
        <v>1019</v>
      </c>
      <c r="O14" s="119" t="s">
        <v>1019</v>
      </c>
      <c r="P14" s="119" t="s">
        <v>1019</v>
      </c>
      <c r="Q14" s="119" t="s">
        <v>1019</v>
      </c>
      <c r="R14" s="119" t="s">
        <v>1019</v>
      </c>
      <c r="S14" s="119" t="s">
        <v>1019</v>
      </c>
      <c r="T14" s="119" t="s">
        <v>1019</v>
      </c>
      <c r="U14" s="119" t="s">
        <v>1019</v>
      </c>
      <c r="V14" s="119" t="s">
        <v>1019</v>
      </c>
      <c r="W14" s="119" t="s">
        <v>1019</v>
      </c>
      <c r="X14" s="119" t="s">
        <v>1019</v>
      </c>
      <c r="Y14" s="120"/>
      <c r="Z14" s="50"/>
      <c r="AE14" s="13"/>
      <c r="BB14" s="283" t="str">
        <f>CountryCode &amp; ".T2.OFT.S1312.MNAC." &amp; RefVintage</f>
        <v>HU.T2.OFT.S1312.MNAC.W.2020</v>
      </c>
    </row>
    <row r="15" spans="1:56" ht="16.5" thickBot="1">
      <c r="A15" s="290" t="s">
        <v>226</v>
      </c>
      <c r="B15" s="414" t="s">
        <v>723</v>
      </c>
      <c r="C15" s="311" t="s">
        <v>513</v>
      </c>
      <c r="D15" s="119" t="s">
        <v>1019</v>
      </c>
      <c r="E15" s="119" t="s">
        <v>1019</v>
      </c>
      <c r="F15" s="119" t="s">
        <v>1019</v>
      </c>
      <c r="G15" s="119" t="s">
        <v>1019</v>
      </c>
      <c r="H15" s="119" t="s">
        <v>1019</v>
      </c>
      <c r="I15" s="119" t="s">
        <v>1019</v>
      </c>
      <c r="J15" s="119" t="s">
        <v>1019</v>
      </c>
      <c r="K15" s="119" t="s">
        <v>1019</v>
      </c>
      <c r="L15" s="119" t="s">
        <v>1019</v>
      </c>
      <c r="M15" s="119" t="s">
        <v>1019</v>
      </c>
      <c r="N15" s="119" t="s">
        <v>1019</v>
      </c>
      <c r="O15" s="119" t="s">
        <v>1019</v>
      </c>
      <c r="P15" s="119" t="s">
        <v>1019</v>
      </c>
      <c r="Q15" s="119" t="s">
        <v>1019</v>
      </c>
      <c r="R15" s="119" t="s">
        <v>1019</v>
      </c>
      <c r="S15" s="119" t="s">
        <v>1019</v>
      </c>
      <c r="T15" s="119" t="s">
        <v>1019</v>
      </c>
      <c r="U15" s="119" t="s">
        <v>1019</v>
      </c>
      <c r="V15" s="119" t="s">
        <v>1019</v>
      </c>
      <c r="W15" s="119" t="s">
        <v>1019</v>
      </c>
      <c r="X15" s="119" t="s">
        <v>1019</v>
      </c>
      <c r="Y15" s="120"/>
      <c r="Z15" s="50"/>
      <c r="AE15" s="13"/>
      <c r="BB15" s="283" t="str">
        <f>CountryCode &amp; ".T2.OFTDL.S1312.MNAC." &amp; RefVintage</f>
        <v>HU.T2.OFTDL.S1312.MNAC.W.2020</v>
      </c>
    </row>
    <row r="16" spans="1:56" ht="16.5" thickBot="1">
      <c r="A16" s="291" t="s">
        <v>487</v>
      </c>
      <c r="B16" s="414" t="s">
        <v>724</v>
      </c>
      <c r="C16" s="217" t="s">
        <v>514</v>
      </c>
      <c r="D16" s="119" t="s">
        <v>1019</v>
      </c>
      <c r="E16" s="119" t="s">
        <v>1019</v>
      </c>
      <c r="F16" s="119" t="s">
        <v>1019</v>
      </c>
      <c r="G16" s="119" t="s">
        <v>1019</v>
      </c>
      <c r="H16" s="119" t="s">
        <v>1019</v>
      </c>
      <c r="I16" s="119" t="s">
        <v>1019</v>
      </c>
      <c r="J16" s="119" t="s">
        <v>1019</v>
      </c>
      <c r="K16" s="119" t="s">
        <v>1019</v>
      </c>
      <c r="L16" s="119" t="s">
        <v>1019</v>
      </c>
      <c r="M16" s="119" t="s">
        <v>1019</v>
      </c>
      <c r="N16" s="119" t="s">
        <v>1019</v>
      </c>
      <c r="O16" s="119" t="s">
        <v>1019</v>
      </c>
      <c r="P16" s="119" t="s">
        <v>1019</v>
      </c>
      <c r="Q16" s="119" t="s">
        <v>1019</v>
      </c>
      <c r="R16" s="119" t="s">
        <v>1019</v>
      </c>
      <c r="S16" s="119" t="s">
        <v>1019</v>
      </c>
      <c r="T16" s="119" t="s">
        <v>1019</v>
      </c>
      <c r="U16" s="119" t="s">
        <v>1019</v>
      </c>
      <c r="V16" s="119" t="s">
        <v>1019</v>
      </c>
      <c r="W16" s="119" t="s">
        <v>1019</v>
      </c>
      <c r="X16" s="119" t="s">
        <v>1019</v>
      </c>
      <c r="Y16" s="120"/>
      <c r="Z16" s="50"/>
      <c r="AE16" s="13"/>
      <c r="BB16" s="283" t="str">
        <f>CountryCode &amp; ".T2.F71K.S1312.MNAC." &amp; RefVintage</f>
        <v>HU.T2.F71K.S1312.MNAC.W.2020</v>
      </c>
    </row>
    <row r="17" spans="1:54" ht="15.75">
      <c r="A17" s="159" t="s">
        <v>227</v>
      </c>
      <c r="B17" s="414" t="s">
        <v>725</v>
      </c>
      <c r="C17" s="130" t="s">
        <v>515</v>
      </c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22"/>
      <c r="Z17" s="50"/>
      <c r="AE17" s="13"/>
      <c r="BB17" s="283" t="str">
        <f>CountryCode &amp; ".T2.OFT1.S1312.MNAC." &amp; RefVintage</f>
        <v>HU.T2.OFT1.S1312.MNAC.W.2020</v>
      </c>
    </row>
    <row r="18" spans="1:54" ht="15.75">
      <c r="A18" s="159" t="s">
        <v>228</v>
      </c>
      <c r="B18" s="414" t="s">
        <v>726</v>
      </c>
      <c r="C18" s="130" t="s">
        <v>516</v>
      </c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22"/>
      <c r="Z18" s="50"/>
      <c r="AE18" s="13"/>
      <c r="BB18" s="283" t="str">
        <f>CountryCode &amp; ".T2.OFT2.S1312.MNAC." &amp; RefVintage</f>
        <v>HU.T2.OFT2.S1312.MNAC.W.2020</v>
      </c>
    </row>
    <row r="19" spans="1:54" ht="15.75">
      <c r="A19" s="290"/>
      <c r="B19" s="422"/>
      <c r="C19" s="161"/>
      <c r="D19" s="134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20"/>
      <c r="Z19" s="50"/>
      <c r="AE19" s="13"/>
    </row>
    <row r="20" spans="1:54" ht="15.75">
      <c r="A20" s="290" t="s">
        <v>229</v>
      </c>
      <c r="B20" s="414" t="s">
        <v>745</v>
      </c>
      <c r="C20" s="308" t="s">
        <v>119</v>
      </c>
      <c r="D20" s="133" t="s">
        <v>1019</v>
      </c>
      <c r="E20" s="133" t="s">
        <v>1019</v>
      </c>
      <c r="F20" s="133" t="s">
        <v>1019</v>
      </c>
      <c r="G20" s="133" t="s">
        <v>1019</v>
      </c>
      <c r="H20" s="133" t="s">
        <v>1019</v>
      </c>
      <c r="I20" s="133" t="s">
        <v>1019</v>
      </c>
      <c r="J20" s="133" t="s">
        <v>1019</v>
      </c>
      <c r="K20" s="133" t="s">
        <v>1019</v>
      </c>
      <c r="L20" s="133" t="s">
        <v>1019</v>
      </c>
      <c r="M20" s="133" t="s">
        <v>1019</v>
      </c>
      <c r="N20" s="133" t="s">
        <v>1019</v>
      </c>
      <c r="O20" s="133" t="s">
        <v>1019</v>
      </c>
      <c r="P20" s="133" t="s">
        <v>1019</v>
      </c>
      <c r="Q20" s="133" t="s">
        <v>1019</v>
      </c>
      <c r="R20" s="133" t="s">
        <v>1019</v>
      </c>
      <c r="S20" s="133" t="s">
        <v>1019</v>
      </c>
      <c r="T20" s="133" t="s">
        <v>1019</v>
      </c>
      <c r="U20" s="133" t="s">
        <v>1019</v>
      </c>
      <c r="V20" s="133" t="s">
        <v>1019</v>
      </c>
      <c r="W20" s="133" t="s">
        <v>1019</v>
      </c>
      <c r="X20" s="133" t="s">
        <v>1019</v>
      </c>
      <c r="Y20" s="120"/>
      <c r="Z20" s="50"/>
      <c r="AE20" s="13"/>
      <c r="BB20" s="283" t="str">
        <f>CountryCode &amp; ".T2.ONFT.S1312.MNAC." &amp; RefVintage</f>
        <v>HU.T2.ONFT.S1312.MNAC.W.2020</v>
      </c>
    </row>
    <row r="21" spans="1:54" ht="15.75">
      <c r="A21" s="159" t="s">
        <v>230</v>
      </c>
      <c r="B21" s="414" t="s">
        <v>746</v>
      </c>
      <c r="C21" s="130" t="s">
        <v>69</v>
      </c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22"/>
      <c r="Z21" s="50"/>
      <c r="AE21" s="13"/>
      <c r="BB21" s="283" t="str">
        <f>CountryCode &amp; ".T2.ONFT1.S1312.MNAC." &amp; RefVintage</f>
        <v>HU.T2.ONFT1.S1312.MNAC.W.2020</v>
      </c>
    </row>
    <row r="22" spans="1:54" ht="15.75">
      <c r="A22" s="159" t="s">
        <v>231</v>
      </c>
      <c r="B22" s="414" t="s">
        <v>747</v>
      </c>
      <c r="C22" s="130" t="s">
        <v>70</v>
      </c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22"/>
      <c r="Z22" s="50"/>
      <c r="AE22" s="13"/>
      <c r="BB22" s="283" t="str">
        <f>CountryCode &amp; ".T2.ONFT2.S1312.MNAC." &amp; RefVintage</f>
        <v>HU.T2.ONFT2.S1312.MNAC.W.2020</v>
      </c>
    </row>
    <row r="23" spans="1:54" ht="15.75">
      <c r="A23" s="338"/>
      <c r="B23" s="414"/>
      <c r="C23" s="162"/>
      <c r="D23" s="134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20"/>
      <c r="Z23" s="50"/>
      <c r="AE23" s="13"/>
    </row>
    <row r="24" spans="1:54" ht="15.75">
      <c r="A24" s="290" t="s">
        <v>232</v>
      </c>
      <c r="B24" s="414" t="s">
        <v>754</v>
      </c>
      <c r="C24" s="215" t="s">
        <v>471</v>
      </c>
      <c r="D24" s="133" t="s">
        <v>1019</v>
      </c>
      <c r="E24" s="133" t="s">
        <v>1019</v>
      </c>
      <c r="F24" s="133" t="s">
        <v>1019</v>
      </c>
      <c r="G24" s="133" t="s">
        <v>1019</v>
      </c>
      <c r="H24" s="133" t="s">
        <v>1019</v>
      </c>
      <c r="I24" s="133" t="s">
        <v>1019</v>
      </c>
      <c r="J24" s="133" t="s">
        <v>1019</v>
      </c>
      <c r="K24" s="133" t="s">
        <v>1019</v>
      </c>
      <c r="L24" s="133" t="s">
        <v>1019</v>
      </c>
      <c r="M24" s="133" t="s">
        <v>1019</v>
      </c>
      <c r="N24" s="133" t="s">
        <v>1019</v>
      </c>
      <c r="O24" s="133" t="s">
        <v>1019</v>
      </c>
      <c r="P24" s="133" t="s">
        <v>1019</v>
      </c>
      <c r="Q24" s="133" t="s">
        <v>1019</v>
      </c>
      <c r="R24" s="133" t="s">
        <v>1019</v>
      </c>
      <c r="S24" s="133" t="s">
        <v>1019</v>
      </c>
      <c r="T24" s="133" t="s">
        <v>1019</v>
      </c>
      <c r="U24" s="133" t="s">
        <v>1019</v>
      </c>
      <c r="V24" s="133" t="s">
        <v>1019</v>
      </c>
      <c r="W24" s="133" t="s">
        <v>1019</v>
      </c>
      <c r="X24" s="133" t="s">
        <v>1019</v>
      </c>
      <c r="Y24" s="120"/>
      <c r="Z24" s="50"/>
      <c r="AE24" s="13"/>
      <c r="BB24" s="283" t="str">
        <f>CountryCode &amp; ".T2.D41DIF.S1312.MNAC." &amp; RefVintage</f>
        <v>HU.T2.D41DIF.S1312.MNAC.W.2020</v>
      </c>
    </row>
    <row r="25" spans="1:54" ht="15.75">
      <c r="A25" s="290"/>
      <c r="B25" s="414"/>
      <c r="C25" s="162"/>
      <c r="D25" s="134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20"/>
      <c r="Z25" s="50"/>
      <c r="AE25" s="13"/>
    </row>
    <row r="26" spans="1:54" ht="15.75">
      <c r="A26" s="290" t="s">
        <v>539</v>
      </c>
      <c r="B26" s="414" t="s">
        <v>757</v>
      </c>
      <c r="C26" s="308" t="s">
        <v>47</v>
      </c>
      <c r="D26" s="133" t="s">
        <v>1019</v>
      </c>
      <c r="E26" s="133" t="s">
        <v>1019</v>
      </c>
      <c r="F26" s="133" t="s">
        <v>1019</v>
      </c>
      <c r="G26" s="133" t="s">
        <v>1019</v>
      </c>
      <c r="H26" s="133" t="s">
        <v>1019</v>
      </c>
      <c r="I26" s="133" t="s">
        <v>1019</v>
      </c>
      <c r="J26" s="133" t="s">
        <v>1019</v>
      </c>
      <c r="K26" s="133" t="s">
        <v>1019</v>
      </c>
      <c r="L26" s="133" t="s">
        <v>1019</v>
      </c>
      <c r="M26" s="133" t="s">
        <v>1019</v>
      </c>
      <c r="N26" s="133" t="s">
        <v>1019</v>
      </c>
      <c r="O26" s="133" t="s">
        <v>1019</v>
      </c>
      <c r="P26" s="133" t="s">
        <v>1019</v>
      </c>
      <c r="Q26" s="133" t="s">
        <v>1019</v>
      </c>
      <c r="R26" s="133" t="s">
        <v>1019</v>
      </c>
      <c r="S26" s="133" t="s">
        <v>1019</v>
      </c>
      <c r="T26" s="133" t="s">
        <v>1019</v>
      </c>
      <c r="U26" s="133" t="s">
        <v>1019</v>
      </c>
      <c r="V26" s="133" t="s">
        <v>1019</v>
      </c>
      <c r="W26" s="133" t="s">
        <v>1019</v>
      </c>
      <c r="X26" s="133" t="s">
        <v>1019</v>
      </c>
      <c r="Y26" s="120"/>
      <c r="Z26" s="50"/>
      <c r="AE26" s="13"/>
      <c r="BB26" s="283" t="str">
        <f>CountryCode &amp; ".T2.F8ASS.S1312.MNAC." &amp; RefVintage</f>
        <v>HU.T2.F8ASS.S1312.MNAC.W.2020</v>
      </c>
    </row>
    <row r="27" spans="1:54" ht="15.75">
      <c r="A27" s="159" t="s">
        <v>540</v>
      </c>
      <c r="B27" s="414" t="s">
        <v>758</v>
      </c>
      <c r="C27" s="130" t="s">
        <v>69</v>
      </c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22"/>
      <c r="Z27" s="50"/>
      <c r="AE27" s="13"/>
      <c r="BB27" s="283" t="str">
        <f>CountryCode &amp; ".T2.F8ASS1.S1312.MNAC." &amp; RefVintage</f>
        <v>HU.T2.F8ASS1.S1312.MNAC.W.2020</v>
      </c>
    </row>
    <row r="28" spans="1:54" ht="15.75">
      <c r="A28" s="159" t="s">
        <v>541</v>
      </c>
      <c r="B28" s="414" t="s">
        <v>759</v>
      </c>
      <c r="C28" s="130" t="s">
        <v>70</v>
      </c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22"/>
      <c r="Z28" s="50"/>
      <c r="AE28" s="13"/>
      <c r="BB28" s="283" t="str">
        <f>CountryCode &amp; ".T2.F8ASS2.S1312.MNAC." &amp; RefVintage</f>
        <v>HU.T2.F8ASS2.S1312.MNAC.W.2020</v>
      </c>
    </row>
    <row r="29" spans="1:54" ht="15.75">
      <c r="A29" s="290" t="s">
        <v>542</v>
      </c>
      <c r="B29" s="414" t="s">
        <v>766</v>
      </c>
      <c r="C29" s="308" t="s">
        <v>46</v>
      </c>
      <c r="D29" s="133" t="s">
        <v>1019</v>
      </c>
      <c r="E29" s="133" t="s">
        <v>1019</v>
      </c>
      <c r="F29" s="133" t="s">
        <v>1019</v>
      </c>
      <c r="G29" s="133" t="s">
        <v>1019</v>
      </c>
      <c r="H29" s="133" t="s">
        <v>1019</v>
      </c>
      <c r="I29" s="133" t="s">
        <v>1019</v>
      </c>
      <c r="J29" s="133" t="s">
        <v>1019</v>
      </c>
      <c r="K29" s="133" t="s">
        <v>1019</v>
      </c>
      <c r="L29" s="133" t="s">
        <v>1019</v>
      </c>
      <c r="M29" s="133" t="s">
        <v>1019</v>
      </c>
      <c r="N29" s="133" t="s">
        <v>1019</v>
      </c>
      <c r="O29" s="133" t="s">
        <v>1019</v>
      </c>
      <c r="P29" s="133" t="s">
        <v>1019</v>
      </c>
      <c r="Q29" s="133" t="s">
        <v>1019</v>
      </c>
      <c r="R29" s="133" t="s">
        <v>1019</v>
      </c>
      <c r="S29" s="133" t="s">
        <v>1019</v>
      </c>
      <c r="T29" s="133" t="s">
        <v>1019</v>
      </c>
      <c r="U29" s="133" t="s">
        <v>1019</v>
      </c>
      <c r="V29" s="133" t="s">
        <v>1019</v>
      </c>
      <c r="W29" s="133" t="s">
        <v>1019</v>
      </c>
      <c r="X29" s="133" t="s">
        <v>1019</v>
      </c>
      <c r="Y29" s="120"/>
      <c r="Z29" s="50"/>
      <c r="AE29" s="13"/>
      <c r="BB29" s="283" t="str">
        <f>CountryCode &amp; ".T2.F8LIA.S1312.MNAC." &amp; RefVintage</f>
        <v>HU.T2.F8LIA.S1312.MNAC.W.2020</v>
      </c>
    </row>
    <row r="30" spans="1:54" ht="15.75">
      <c r="A30" s="159" t="s">
        <v>543</v>
      </c>
      <c r="B30" s="414" t="s">
        <v>767</v>
      </c>
      <c r="C30" s="130" t="s">
        <v>69</v>
      </c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22"/>
      <c r="Z30" s="50"/>
      <c r="AE30" s="13"/>
      <c r="BB30" s="283" t="str">
        <f>CountryCode &amp; ".T2.F8LIA1.S1312.MNAC." &amp; RefVintage</f>
        <v>HU.T2.F8LIA1.S1312.MNAC.W.2020</v>
      </c>
    </row>
    <row r="31" spans="1:54" ht="15.75">
      <c r="A31" s="159" t="s">
        <v>544</v>
      </c>
      <c r="B31" s="414" t="s">
        <v>768</v>
      </c>
      <c r="C31" s="130" t="s">
        <v>70</v>
      </c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22"/>
      <c r="Z31" s="50"/>
      <c r="AE31" s="13"/>
      <c r="BB31" s="283" t="str">
        <f>CountryCode &amp; ".T2.F8LIA2.S1312.MNAC." &amp; RefVintage</f>
        <v>HU.T2.F8LIA2.S1312.MNAC.W.2020</v>
      </c>
    </row>
    <row r="32" spans="1:54" ht="15.75">
      <c r="A32" s="290"/>
      <c r="B32" s="414"/>
      <c r="C32" s="162"/>
      <c r="D32" s="134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20"/>
      <c r="Z32" s="50"/>
      <c r="AE32" s="13"/>
    </row>
    <row r="33" spans="1:54" ht="15.75">
      <c r="A33" s="290" t="s">
        <v>233</v>
      </c>
      <c r="B33" s="414" t="s">
        <v>775</v>
      </c>
      <c r="C33" s="308" t="s">
        <v>75</v>
      </c>
      <c r="D33" s="133" t="s">
        <v>1019</v>
      </c>
      <c r="E33" s="133" t="s">
        <v>1019</v>
      </c>
      <c r="F33" s="133" t="s">
        <v>1019</v>
      </c>
      <c r="G33" s="133" t="s">
        <v>1019</v>
      </c>
      <c r="H33" s="133" t="s">
        <v>1019</v>
      </c>
      <c r="I33" s="133" t="s">
        <v>1019</v>
      </c>
      <c r="J33" s="133" t="s">
        <v>1019</v>
      </c>
      <c r="K33" s="133" t="s">
        <v>1019</v>
      </c>
      <c r="L33" s="133" t="s">
        <v>1019</v>
      </c>
      <c r="M33" s="133" t="s">
        <v>1019</v>
      </c>
      <c r="N33" s="133" t="s">
        <v>1019</v>
      </c>
      <c r="O33" s="133" t="s">
        <v>1019</v>
      </c>
      <c r="P33" s="133" t="s">
        <v>1019</v>
      </c>
      <c r="Q33" s="133" t="s">
        <v>1019</v>
      </c>
      <c r="R33" s="133" t="s">
        <v>1019</v>
      </c>
      <c r="S33" s="133" t="s">
        <v>1019</v>
      </c>
      <c r="T33" s="133" t="s">
        <v>1019</v>
      </c>
      <c r="U33" s="133" t="s">
        <v>1019</v>
      </c>
      <c r="V33" s="133" t="s">
        <v>1019</v>
      </c>
      <c r="W33" s="133" t="s">
        <v>1019</v>
      </c>
      <c r="X33" s="133" t="s">
        <v>1019</v>
      </c>
      <c r="Y33" s="120"/>
      <c r="Z33" s="50"/>
      <c r="AE33" s="13"/>
      <c r="BB33" s="283" t="str">
        <f>CountryCode &amp; ".T2.B9_OWB.S1312.MNAC." &amp; RefVintage</f>
        <v>HU.T2.B9_OWB.S1312.MNAC.W.2020</v>
      </c>
    </row>
    <row r="34" spans="1:54" ht="15.75">
      <c r="A34" s="290" t="s">
        <v>234</v>
      </c>
      <c r="B34" s="414" t="s">
        <v>776</v>
      </c>
      <c r="C34" s="308" t="s">
        <v>579</v>
      </c>
      <c r="D34" s="133" t="s">
        <v>1019</v>
      </c>
      <c r="E34" s="133" t="s">
        <v>1019</v>
      </c>
      <c r="F34" s="133" t="s">
        <v>1019</v>
      </c>
      <c r="G34" s="133" t="s">
        <v>1019</v>
      </c>
      <c r="H34" s="133" t="s">
        <v>1019</v>
      </c>
      <c r="I34" s="133" t="s">
        <v>1019</v>
      </c>
      <c r="J34" s="133" t="s">
        <v>1019</v>
      </c>
      <c r="K34" s="133" t="s">
        <v>1019</v>
      </c>
      <c r="L34" s="133" t="s">
        <v>1019</v>
      </c>
      <c r="M34" s="133" t="s">
        <v>1019</v>
      </c>
      <c r="N34" s="133" t="s">
        <v>1019</v>
      </c>
      <c r="O34" s="133" t="s">
        <v>1019</v>
      </c>
      <c r="P34" s="133" t="s">
        <v>1019</v>
      </c>
      <c r="Q34" s="133" t="s">
        <v>1019</v>
      </c>
      <c r="R34" s="133" t="s">
        <v>1019</v>
      </c>
      <c r="S34" s="133" t="s">
        <v>1019</v>
      </c>
      <c r="T34" s="133" t="s">
        <v>1019</v>
      </c>
      <c r="U34" s="133" t="s">
        <v>1019</v>
      </c>
      <c r="V34" s="133" t="s">
        <v>1019</v>
      </c>
      <c r="W34" s="133" t="s">
        <v>1019</v>
      </c>
      <c r="X34" s="133" t="s">
        <v>1019</v>
      </c>
      <c r="Y34" s="120"/>
      <c r="Z34" s="50"/>
      <c r="AE34" s="13"/>
      <c r="BB34" s="283" t="str">
        <f>CountryCode &amp; ".T2.B9_OB.S1312.MNAC." &amp; RefVintage</f>
        <v>HU.T2.B9_OB.S1312.MNAC.W.2020</v>
      </c>
    </row>
    <row r="35" spans="1:54" ht="15.75">
      <c r="A35" s="159" t="s">
        <v>235</v>
      </c>
      <c r="B35" s="414" t="s">
        <v>777</v>
      </c>
      <c r="C35" s="130" t="s">
        <v>69</v>
      </c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22"/>
      <c r="Z35" s="50"/>
      <c r="AE35" s="13"/>
      <c r="BB35" s="283" t="str">
        <f>CountryCode &amp; ".T2.B9_OB1.S1312.MNAC." &amp; RefVintage</f>
        <v>HU.T2.B9_OB1.S1312.MNAC.W.2020</v>
      </c>
    </row>
    <row r="36" spans="1:54" ht="15.75">
      <c r="A36" s="159" t="s">
        <v>236</v>
      </c>
      <c r="B36" s="414" t="s">
        <v>778</v>
      </c>
      <c r="C36" s="130" t="s">
        <v>70</v>
      </c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22"/>
      <c r="Z36" s="50"/>
      <c r="AE36" s="13"/>
      <c r="BB36" s="283" t="str">
        <f>CountryCode &amp; ".T2.B9_OB2.S1312.MNAC." &amp; RefVintage</f>
        <v>HU.T2.B9_OB2.S1312.MNAC.W.2020</v>
      </c>
    </row>
    <row r="37" spans="1:54" ht="15.75">
      <c r="A37" s="290"/>
      <c r="B37" s="423"/>
      <c r="C37" s="162"/>
      <c r="D37" s="134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20"/>
      <c r="Z37" s="50"/>
      <c r="AE37" s="13"/>
    </row>
    <row r="38" spans="1:54" ht="15.75">
      <c r="A38" s="290" t="s">
        <v>237</v>
      </c>
      <c r="B38" s="414" t="s">
        <v>787</v>
      </c>
      <c r="C38" s="308" t="s">
        <v>48</v>
      </c>
      <c r="D38" s="133" t="s">
        <v>1019</v>
      </c>
      <c r="E38" s="133" t="s">
        <v>1019</v>
      </c>
      <c r="F38" s="133" t="s">
        <v>1019</v>
      </c>
      <c r="G38" s="133" t="s">
        <v>1019</v>
      </c>
      <c r="H38" s="133" t="s">
        <v>1019</v>
      </c>
      <c r="I38" s="133" t="s">
        <v>1019</v>
      </c>
      <c r="J38" s="133" t="s">
        <v>1019</v>
      </c>
      <c r="K38" s="133" t="s">
        <v>1019</v>
      </c>
      <c r="L38" s="133" t="s">
        <v>1019</v>
      </c>
      <c r="M38" s="133" t="s">
        <v>1019</v>
      </c>
      <c r="N38" s="133" t="s">
        <v>1019</v>
      </c>
      <c r="O38" s="133" t="s">
        <v>1019</v>
      </c>
      <c r="P38" s="133" t="s">
        <v>1019</v>
      </c>
      <c r="Q38" s="133" t="s">
        <v>1019</v>
      </c>
      <c r="R38" s="133" t="s">
        <v>1019</v>
      </c>
      <c r="S38" s="133" t="s">
        <v>1019</v>
      </c>
      <c r="T38" s="133" t="s">
        <v>1019</v>
      </c>
      <c r="U38" s="133" t="s">
        <v>1019</v>
      </c>
      <c r="V38" s="133" t="s">
        <v>1019</v>
      </c>
      <c r="W38" s="133" t="s">
        <v>1019</v>
      </c>
      <c r="X38" s="133" t="s">
        <v>1019</v>
      </c>
      <c r="Y38" s="120"/>
      <c r="Z38" s="50"/>
      <c r="AE38" s="13"/>
      <c r="BB38" s="283" t="str">
        <f>CountryCode &amp; ".T2.OA.S1312.MNAC." &amp; RefVintage</f>
        <v>HU.T2.OA.S1312.MNAC.W.2020</v>
      </c>
    </row>
    <row r="39" spans="1:54" ht="15.75">
      <c r="A39" s="159" t="s">
        <v>238</v>
      </c>
      <c r="B39" s="414" t="s">
        <v>788</v>
      </c>
      <c r="C39" s="130" t="s">
        <v>69</v>
      </c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22"/>
      <c r="Z39" s="50"/>
      <c r="AE39" s="13"/>
      <c r="BB39" s="283" t="str">
        <f>CountryCode &amp; ".T2.OA1.S1312.MNAC." &amp; RefVintage</f>
        <v>HU.T2.OA1.S1312.MNAC.W.2020</v>
      </c>
    </row>
    <row r="40" spans="1:54" ht="15.75">
      <c r="A40" s="159" t="s">
        <v>239</v>
      </c>
      <c r="B40" s="414" t="s">
        <v>789</v>
      </c>
      <c r="C40" s="130" t="s">
        <v>70</v>
      </c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22"/>
      <c r="Z40" s="50"/>
      <c r="AE40" s="13"/>
      <c r="BB40" s="283" t="str">
        <f>CountryCode &amp; ".T2.OA2.S1312.MNAC." &amp; RefVintage</f>
        <v>HU.T2.OA2.S1312.MNAC.W.2020</v>
      </c>
    </row>
    <row r="41" spans="1:54" ht="15.75">
      <c r="A41" s="159" t="s">
        <v>240</v>
      </c>
      <c r="B41" s="414" t="s">
        <v>790</v>
      </c>
      <c r="C41" s="130" t="s">
        <v>71</v>
      </c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22"/>
      <c r="Z41" s="50"/>
      <c r="AE41" s="13"/>
      <c r="BB41" s="283" t="str">
        <f>CountryCode &amp; ".T2.OA3.S1312.MNAC." &amp; RefVintage</f>
        <v>HU.T2.OA3.S1312.MNAC.W.2020</v>
      </c>
    </row>
    <row r="42" spans="1:54" ht="16.5" thickBot="1">
      <c r="A42" s="290"/>
      <c r="B42" s="422"/>
      <c r="C42" s="162"/>
      <c r="D42" s="127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3"/>
      <c r="Z42" s="50"/>
      <c r="AE42" s="13"/>
    </row>
    <row r="43" spans="1:54" ht="17.25" thickTop="1" thickBot="1">
      <c r="A43" s="290" t="s">
        <v>241</v>
      </c>
      <c r="B43" s="414" t="s">
        <v>799</v>
      </c>
      <c r="C43" s="312" t="s">
        <v>565</v>
      </c>
      <c r="D43" s="86" t="s">
        <v>1019</v>
      </c>
      <c r="E43" s="86" t="s">
        <v>1019</v>
      </c>
      <c r="F43" s="86" t="s">
        <v>1019</v>
      </c>
      <c r="G43" s="86" t="s">
        <v>1019</v>
      </c>
      <c r="H43" s="86" t="s">
        <v>1019</v>
      </c>
      <c r="I43" s="86" t="s">
        <v>1019</v>
      </c>
      <c r="J43" s="86" t="s">
        <v>1019</v>
      </c>
      <c r="K43" s="86" t="s">
        <v>1019</v>
      </c>
      <c r="L43" s="86" t="s">
        <v>1019</v>
      </c>
      <c r="M43" s="86" t="s">
        <v>1019</v>
      </c>
      <c r="N43" s="86" t="s">
        <v>1019</v>
      </c>
      <c r="O43" s="86" t="s">
        <v>1019</v>
      </c>
      <c r="P43" s="86" t="s">
        <v>1019</v>
      </c>
      <c r="Q43" s="86" t="s">
        <v>1019</v>
      </c>
      <c r="R43" s="86" t="s">
        <v>1019</v>
      </c>
      <c r="S43" s="86" t="s">
        <v>1019</v>
      </c>
      <c r="T43" s="86" t="s">
        <v>1019</v>
      </c>
      <c r="U43" s="86" t="s">
        <v>1019</v>
      </c>
      <c r="V43" s="87" t="s">
        <v>1019</v>
      </c>
      <c r="W43" s="87" t="s">
        <v>1019</v>
      </c>
      <c r="X43" s="87" t="s">
        <v>1019</v>
      </c>
      <c r="Y43" s="4"/>
      <c r="Z43" s="49"/>
      <c r="AE43" s="13"/>
      <c r="BB43" s="283" t="str">
        <f>CountryCode &amp; ".T2.B9.S1312.MNAC." &amp; RefVintage</f>
        <v>HU.T2.B9.S1312.MNAC.W.2020</v>
      </c>
    </row>
    <row r="44" spans="1:54" ht="16.5" thickTop="1">
      <c r="A44" s="152"/>
      <c r="B44" s="150"/>
      <c r="C44" s="313" t="s">
        <v>472</v>
      </c>
      <c r="D44" s="339"/>
      <c r="E44" s="337"/>
      <c r="F44" s="337"/>
      <c r="G44" s="337"/>
      <c r="H44" s="337"/>
      <c r="I44" s="337"/>
      <c r="J44" s="337"/>
      <c r="K44" s="337"/>
      <c r="L44" s="337"/>
      <c r="M44" s="337"/>
      <c r="N44" s="337"/>
      <c r="O44" s="337"/>
      <c r="P44" s="337"/>
      <c r="Q44" s="337"/>
      <c r="R44" s="337"/>
      <c r="S44" s="337"/>
      <c r="T44" s="337"/>
      <c r="U44" s="337"/>
      <c r="V44" s="337"/>
      <c r="W44" s="337"/>
      <c r="X44" s="337"/>
      <c r="Y44" s="26"/>
      <c r="Z44" s="50"/>
      <c r="AA44" s="13"/>
    </row>
    <row r="45" spans="1:54" ht="9" customHeight="1">
      <c r="A45" s="152"/>
      <c r="B45" s="150"/>
      <c r="C45" s="340"/>
      <c r="D45" s="341"/>
      <c r="E45" s="337"/>
      <c r="F45" s="337"/>
      <c r="G45" s="337"/>
      <c r="H45" s="337"/>
      <c r="I45" s="337"/>
      <c r="J45" s="337"/>
      <c r="K45" s="337"/>
      <c r="L45" s="337"/>
      <c r="M45" s="337"/>
      <c r="N45" s="337"/>
      <c r="O45" s="337"/>
      <c r="P45" s="337"/>
      <c r="Q45" s="337"/>
      <c r="R45" s="337"/>
      <c r="S45" s="337"/>
      <c r="T45" s="337"/>
      <c r="U45" s="337"/>
      <c r="V45" s="337"/>
      <c r="W45" s="337"/>
      <c r="X45" s="337"/>
      <c r="Y45" s="26"/>
      <c r="Z45" s="50"/>
      <c r="AA45" s="13"/>
    </row>
    <row r="46" spans="1:54" s="23" customFormat="1" ht="15.75">
      <c r="A46" s="152"/>
      <c r="B46" s="150"/>
      <c r="C46" s="314" t="s">
        <v>88</v>
      </c>
      <c r="D46" s="199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337"/>
      <c r="T46" s="337"/>
      <c r="U46" s="337"/>
      <c r="V46" s="337"/>
      <c r="W46" s="337"/>
      <c r="X46" s="337"/>
      <c r="Y46" s="26"/>
      <c r="Z46" s="50"/>
      <c r="AA46" s="13"/>
      <c r="BB46" s="315"/>
    </row>
    <row r="47" spans="1:54" ht="15.75">
      <c r="A47" s="152"/>
      <c r="B47" s="150"/>
      <c r="C47" s="224" t="s">
        <v>91</v>
      </c>
      <c r="D47" s="199"/>
      <c r="E47" s="337"/>
      <c r="F47" s="337"/>
      <c r="G47" s="337"/>
      <c r="H47" s="337"/>
      <c r="I47" s="337"/>
      <c r="J47" s="337"/>
      <c r="K47" s="337"/>
      <c r="L47" s="337"/>
      <c r="M47" s="337"/>
      <c r="N47" s="337"/>
      <c r="O47" s="337"/>
      <c r="P47" s="337"/>
      <c r="Q47" s="337"/>
      <c r="R47" s="337"/>
      <c r="S47" s="337"/>
      <c r="T47" s="337"/>
      <c r="U47" s="337"/>
      <c r="V47" s="337"/>
      <c r="W47" s="337"/>
      <c r="X47" s="337"/>
      <c r="Y47" s="26"/>
      <c r="Z47" s="50"/>
      <c r="AA47" s="13"/>
    </row>
    <row r="48" spans="1:54" ht="12" customHeight="1" thickBot="1">
      <c r="A48" s="165"/>
      <c r="B48" s="170"/>
      <c r="C48" s="342"/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3"/>
      <c r="Q48" s="343"/>
      <c r="R48" s="343"/>
      <c r="S48" s="343"/>
      <c r="T48" s="343"/>
      <c r="U48" s="343"/>
      <c r="V48" s="343"/>
      <c r="W48" s="343"/>
      <c r="X48" s="343"/>
      <c r="Y48" s="51"/>
      <c r="Z48" s="52"/>
      <c r="AB48" s="13"/>
    </row>
    <row r="49" spans="3:26" ht="15.75" thickTop="1"/>
    <row r="50" spans="3:26">
      <c r="C50" s="25" t="s">
        <v>35</v>
      </c>
    </row>
    <row r="51" spans="3:26" ht="30" customHeight="1">
      <c r="C51" s="325" t="s">
        <v>120</v>
      </c>
      <c r="D51" s="544" t="str">
        <f>IF(COUNTA(D8:W8,D11:W16,D20:W20,D24:W24,D26:W26,D29:W29,D33:W34,D38:W38,D43:W43)/300*100=100,"OK - Table 2B is fully completed","WARNING - Table 2B is not fully completed, please fill in figure, L, M or 0")</f>
        <v>OK - Table 2B is fully completed</v>
      </c>
      <c r="E51" s="544"/>
      <c r="F51" s="544"/>
      <c r="G51" s="544"/>
      <c r="H51" s="544"/>
      <c r="I51" s="544"/>
      <c r="J51" s="544"/>
      <c r="K51" s="544"/>
      <c r="L51" s="544"/>
      <c r="M51" s="544"/>
      <c r="N51" s="544"/>
      <c r="O51" s="544"/>
      <c r="P51" s="544"/>
      <c r="Q51" s="544"/>
      <c r="R51" s="544"/>
      <c r="S51" s="544"/>
      <c r="T51" s="544"/>
      <c r="U51" s="544"/>
      <c r="V51" s="544"/>
      <c r="W51" s="544"/>
      <c r="X51" s="544"/>
      <c r="Y51" s="316"/>
      <c r="Z51" s="195"/>
    </row>
    <row r="52" spans="3:26" ht="15.75">
      <c r="C52" s="196" t="s">
        <v>121</v>
      </c>
      <c r="D52" s="324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  <c r="X52" s="267"/>
      <c r="Y52" s="197"/>
      <c r="Z52" s="198"/>
    </row>
    <row r="53" spans="3:26" ht="23.25">
      <c r="C53" s="317" t="s">
        <v>545</v>
      </c>
      <c r="D53" s="318">
        <f>IF(AND(D43="0",D8="0",D11="0",D20="0",D24="0",D26="0",D29="0",D33="0",D34="0",D38="0"),0,IF(AND(D43="L",D8="L",D11="L",D20="L",D24="L",D26="L",D29="L",D33="L",D34="L",D38="L"),"NC",IF(D43="M",0,D43)-IF(D8="M",0,D8)-IF(D11="M",0,D11)-IF(D20="M",0,D20)-IF(D24="M",0,D24)-IF(D26="M",0,D26)-IF(D29="M",0,D29)-IF(D33="M",0,D33)-IF(D34="M",0,D34)-IF(D38="M",0,D38)))</f>
        <v>0</v>
      </c>
      <c r="E53" s="318">
        <f t="shared" ref="E53:S53" si="19">IF(AND(E43="0",E8="0",E11="0",E20="0",E24="0",E26="0",E29="0",E33="0",E34="0",E38="0"),0,IF(AND(E43="L",E8="L",E11="L",E20="L",E24="L",E26="L",E29="L",E33="L",E34="L",E38="L"),"NC",IF(E43="M",0,E43)-IF(E8="M",0,E8)-IF(E11="M",0,E11)-IF(E20="M",0,E20)-IF(E24="M",0,E24)-IF(E26="M",0,E26)-IF(E29="M",0,E29)-IF(E33="M",0,E33)-IF(E34="M",0,E34)-IF(E38="M",0,E38)))</f>
        <v>0</v>
      </c>
      <c r="F53" s="318">
        <f t="shared" si="19"/>
        <v>0</v>
      </c>
      <c r="G53" s="318">
        <f t="shared" si="19"/>
        <v>0</v>
      </c>
      <c r="H53" s="318">
        <f t="shared" si="19"/>
        <v>0</v>
      </c>
      <c r="I53" s="318">
        <f t="shared" si="19"/>
        <v>0</v>
      </c>
      <c r="J53" s="318">
        <f t="shared" si="19"/>
        <v>0</v>
      </c>
      <c r="K53" s="318">
        <f t="shared" si="19"/>
        <v>0</v>
      </c>
      <c r="L53" s="318">
        <f t="shared" si="19"/>
        <v>0</v>
      </c>
      <c r="M53" s="318">
        <f t="shared" si="19"/>
        <v>0</v>
      </c>
      <c r="N53" s="318">
        <f t="shared" si="19"/>
        <v>0</v>
      </c>
      <c r="O53" s="318">
        <f t="shared" si="19"/>
        <v>0</v>
      </c>
      <c r="P53" s="318">
        <f t="shared" si="19"/>
        <v>0</v>
      </c>
      <c r="Q53" s="318">
        <f t="shared" si="19"/>
        <v>0</v>
      </c>
      <c r="R53" s="318">
        <f t="shared" si="19"/>
        <v>0</v>
      </c>
      <c r="S53" s="318">
        <f t="shared" si="19"/>
        <v>0</v>
      </c>
      <c r="T53" s="318">
        <f t="shared" ref="T53:V53" si="20">IF(AND(T43="0",T8="0",T11="0",T20="0",T24="0",T26="0",T29="0",T33="0",T34="0",T38="0"),0,IF(AND(T43="L",T8="L",T11="L",T20="L",T24="L",T26="L",T29="L",T33="L",T34="L",T38="L"),"NC",IF(T43="M",0,T43)-IF(T8="M",0,T8)-IF(T11="M",0,T11)-IF(T20="M",0,T20)-IF(T24="M",0,T24)-IF(T26="M",0,T26)-IF(T29="M",0,T29)-IF(T33="M",0,T33)-IF(T34="M",0,T34)-IF(T38="M",0,T38)))</f>
        <v>0</v>
      </c>
      <c r="U53" s="318">
        <f t="shared" si="20"/>
        <v>0</v>
      </c>
      <c r="V53" s="318">
        <f t="shared" si="20"/>
        <v>0</v>
      </c>
      <c r="W53" s="318">
        <f t="shared" ref="W53:X53" si="21">IF(AND(W43="0",W8="0",W11="0",W20="0",W24="0",W26="0",W29="0",W33="0",W34="0",W38="0"),0,IF(AND(W43="L",W8="L",W11="L",W20="L",W24="L",W26="L",W29="L",W33="L",W34="L",W38="L"),"NC",IF(W43="M",0,W43)-IF(W8="M",0,W8)-IF(W11="M",0,W11)-IF(W20="M",0,W20)-IF(W24="M",0,W24)-IF(W26="M",0,W26)-IF(W29="M",0,W29)-IF(W33="M",0,W33)-IF(W34="M",0,W34)-IF(W38="M",0,W38)))</f>
        <v>0</v>
      </c>
      <c r="X53" s="318">
        <f t="shared" si="21"/>
        <v>0</v>
      </c>
      <c r="Y53" s="197"/>
      <c r="Z53" s="198"/>
    </row>
    <row r="54" spans="3:26" ht="15.75">
      <c r="C54" s="317" t="s">
        <v>129</v>
      </c>
      <c r="D54" s="318">
        <f>IF(AND(D11="0",D12="0",D13="0",D14="0"),0,IF(AND(D11="L",D12="L",D13="L",D14="L"),"NC",IF(D11="M",0,D11)-IF(D12="M",0,D12)-IF(D13="M",0,D13)-IF(D14="M",0,D14)))</f>
        <v>0</v>
      </c>
      <c r="E54" s="318">
        <f t="shared" ref="E54:S54" si="22">IF(AND(E11="0",E12="0",E13="0",E14="0"),0,IF(AND(E11="L",E12="L",E13="L",E14="L"),"NC",IF(E11="M",0,E11)-IF(E12="M",0,E12)-IF(E13="M",0,E13)-IF(E14="M",0,E14)))</f>
        <v>0</v>
      </c>
      <c r="F54" s="318">
        <f t="shared" si="22"/>
        <v>0</v>
      </c>
      <c r="G54" s="318">
        <f t="shared" si="22"/>
        <v>0</v>
      </c>
      <c r="H54" s="318">
        <f t="shared" si="22"/>
        <v>0</v>
      </c>
      <c r="I54" s="318">
        <f t="shared" si="22"/>
        <v>0</v>
      </c>
      <c r="J54" s="318">
        <f t="shared" si="22"/>
        <v>0</v>
      </c>
      <c r="K54" s="318">
        <f t="shared" si="22"/>
        <v>0</v>
      </c>
      <c r="L54" s="318">
        <f t="shared" si="22"/>
        <v>0</v>
      </c>
      <c r="M54" s="318">
        <f t="shared" si="22"/>
        <v>0</v>
      </c>
      <c r="N54" s="318">
        <f t="shared" si="22"/>
        <v>0</v>
      </c>
      <c r="O54" s="318">
        <f t="shared" si="22"/>
        <v>0</v>
      </c>
      <c r="P54" s="318">
        <f t="shared" si="22"/>
        <v>0</v>
      </c>
      <c r="Q54" s="318">
        <f t="shared" si="22"/>
        <v>0</v>
      </c>
      <c r="R54" s="318">
        <f t="shared" si="22"/>
        <v>0</v>
      </c>
      <c r="S54" s="318">
        <f t="shared" si="22"/>
        <v>0</v>
      </c>
      <c r="T54" s="318">
        <f t="shared" ref="T54:V54" si="23">IF(AND(T11="0",T12="0",T13="0",T14="0"),0,IF(AND(T11="L",T12="L",T13="L",T14="L"),"NC",IF(T11="M",0,T11)-IF(T12="M",0,T12)-IF(T13="M",0,T13)-IF(T14="M",0,T14)))</f>
        <v>0</v>
      </c>
      <c r="U54" s="318">
        <f t="shared" si="23"/>
        <v>0</v>
      </c>
      <c r="V54" s="318">
        <f t="shared" si="23"/>
        <v>0</v>
      </c>
      <c r="W54" s="318">
        <f t="shared" ref="W54:X54" si="24">IF(AND(W11="0",W12="0",W13="0",W14="0"),0,IF(AND(W11="L",W12="L",W13="L",W14="L"),"NC",IF(W11="M",0,W11)-IF(W12="M",0,W12)-IF(W13="M",0,W13)-IF(W14="M",0,W14)))</f>
        <v>0</v>
      </c>
      <c r="X54" s="318">
        <f t="shared" si="24"/>
        <v>0</v>
      </c>
      <c r="Y54" s="197"/>
      <c r="Z54" s="198"/>
    </row>
    <row r="55" spans="3:26" ht="15.75">
      <c r="C55" s="317" t="s">
        <v>130</v>
      </c>
      <c r="D55" s="318">
        <f>IF(AND(D38="0",D39="0",D40="0",D41="0",D42="0"),0,IF(AND(D38="L",D39="L",D40="L",D41="L",D42="L"),"NC",D38-SUM(D39:D42)))</f>
        <v>0</v>
      </c>
      <c r="E55" s="318">
        <f t="shared" ref="E55:S55" si="25">IF(AND(E38="0",E39="0",E40="0",E41="0",E42="0"),0,IF(AND(E38="L",E39="L",E40="L",E41="L",E42="L"),"NC",E38-SUM(E39:E42)))</f>
        <v>0</v>
      </c>
      <c r="F55" s="318">
        <f t="shared" si="25"/>
        <v>0</v>
      </c>
      <c r="G55" s="318">
        <f t="shared" si="25"/>
        <v>0</v>
      </c>
      <c r="H55" s="318">
        <f t="shared" si="25"/>
        <v>0</v>
      </c>
      <c r="I55" s="318">
        <f t="shared" si="25"/>
        <v>0</v>
      </c>
      <c r="J55" s="318">
        <f t="shared" si="25"/>
        <v>0</v>
      </c>
      <c r="K55" s="318">
        <f t="shared" si="25"/>
        <v>0</v>
      </c>
      <c r="L55" s="318">
        <f t="shared" si="25"/>
        <v>0</v>
      </c>
      <c r="M55" s="318">
        <f t="shared" si="25"/>
        <v>0</v>
      </c>
      <c r="N55" s="318">
        <f t="shared" si="25"/>
        <v>0</v>
      </c>
      <c r="O55" s="318">
        <f t="shared" si="25"/>
        <v>0</v>
      </c>
      <c r="P55" s="318">
        <f t="shared" si="25"/>
        <v>0</v>
      </c>
      <c r="Q55" s="318">
        <f t="shared" si="25"/>
        <v>0</v>
      </c>
      <c r="R55" s="318">
        <f t="shared" si="25"/>
        <v>0</v>
      </c>
      <c r="S55" s="318">
        <f t="shared" si="25"/>
        <v>0</v>
      </c>
      <c r="T55" s="318">
        <f t="shared" ref="T55:V55" si="26">IF(AND(T38="0",T39="0",T40="0",T41="0",T42="0"),0,IF(AND(T38="L",T39="L",T40="L",T41="L",T42="L"),"NC",T38-SUM(T39:T42)))</f>
        <v>0</v>
      </c>
      <c r="U55" s="318">
        <f t="shared" si="26"/>
        <v>0</v>
      </c>
      <c r="V55" s="318">
        <f t="shared" si="26"/>
        <v>0</v>
      </c>
      <c r="W55" s="318">
        <f t="shared" ref="W55:X55" si="27">IF(AND(W38="0",W39="0",W40="0",W41="0",W42="0"),0,IF(AND(W38="L",W39="L",W40="L",W41="L",W42="L"),"NC",W38-SUM(W39:W42)))</f>
        <v>0</v>
      </c>
      <c r="X55" s="318">
        <f t="shared" si="27"/>
        <v>0</v>
      </c>
      <c r="Y55" s="197"/>
      <c r="Z55" s="198"/>
    </row>
    <row r="56" spans="3:26" ht="15.75">
      <c r="C56" s="319" t="s">
        <v>127</v>
      </c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197"/>
      <c r="Z56" s="198"/>
    </row>
    <row r="57" spans="3:26" ht="15.75">
      <c r="C57" s="320" t="s">
        <v>131</v>
      </c>
      <c r="D57" s="203">
        <f>IF(AND('Table 1'!E12="0",'Table 2B'!D43="0"),0,IF(AND('Table 1'!E12="L",'Table 2B'!D43="L"),"NC",IF('Table 1'!E12="M",0,'Table 1'!E12)-IF('Table 2B'!D43="M",0,'Table 2B'!D43)))</f>
        <v>0</v>
      </c>
      <c r="E57" s="203">
        <f>IF(AND('Table 1'!F12="0",'Table 2B'!E43="0"),0,IF(AND('Table 1'!F12="L",'Table 2B'!E43="L"),"NC",IF('Table 1'!F12="M",0,'Table 1'!F12)-IF('Table 2B'!E43="M",0,'Table 2B'!E43)))</f>
        <v>0</v>
      </c>
      <c r="F57" s="203">
        <f>IF(AND('Table 1'!G12="0",'Table 2B'!F43="0"),0,IF(AND('Table 1'!G12="L",'Table 2B'!F43="L"),"NC",IF('Table 1'!G12="M",0,'Table 1'!G12)-IF('Table 2B'!F43="M",0,'Table 2B'!F43)))</f>
        <v>0</v>
      </c>
      <c r="G57" s="203">
        <f>IF(AND('Table 1'!H12="0",'Table 2B'!G43="0"),0,IF(AND('Table 1'!H12="L",'Table 2B'!G43="L"),"NC",IF('Table 1'!H12="M",0,'Table 1'!H12)-IF('Table 2B'!G43="M",0,'Table 2B'!G43)))</f>
        <v>0</v>
      </c>
      <c r="H57" s="203">
        <f>IF(AND('Table 1'!I12="0",'Table 2B'!H43="0"),0,IF(AND('Table 1'!I12="L",'Table 2B'!H43="L"),"NC",IF('Table 1'!I12="M",0,'Table 1'!I12)-IF('Table 2B'!H43="M",0,'Table 2B'!H43)))</f>
        <v>0</v>
      </c>
      <c r="I57" s="203">
        <f>IF(AND('Table 1'!J12="0",'Table 2B'!I43="0"),0,IF(AND('Table 1'!J12="L",'Table 2B'!I43="L"),"NC",IF('Table 1'!J12="M",0,'Table 1'!J12)-IF('Table 2B'!I43="M",0,'Table 2B'!I43)))</f>
        <v>0</v>
      </c>
      <c r="J57" s="203">
        <f>IF(AND('Table 1'!K12="0",'Table 2B'!J43="0"),0,IF(AND('Table 1'!K12="L",'Table 2B'!J43="L"),"NC",IF('Table 1'!K12="M",0,'Table 1'!K12)-IF('Table 2B'!J43="M",0,'Table 2B'!J43)))</f>
        <v>0</v>
      </c>
      <c r="K57" s="203">
        <f>IF(AND('Table 1'!L12="0",'Table 2B'!K43="0"),0,IF(AND('Table 1'!L12="L",'Table 2B'!K43="L"),"NC",IF('Table 1'!L12="M",0,'Table 1'!L12)-IF('Table 2B'!K43="M",0,'Table 2B'!K43)))</f>
        <v>0</v>
      </c>
      <c r="L57" s="203">
        <f>IF(AND('Table 1'!M12="0",'Table 2B'!L43="0"),0,IF(AND('Table 1'!M12="L",'Table 2B'!L43="L"),"NC",IF('Table 1'!M12="M",0,'Table 1'!M12)-IF('Table 2B'!L43="M",0,'Table 2B'!L43)))</f>
        <v>0</v>
      </c>
      <c r="M57" s="203">
        <f>IF(AND('Table 1'!N12="0",'Table 2B'!M43="0"),0,IF(AND('Table 1'!N12="L",'Table 2B'!M43="L"),"NC",IF('Table 1'!N12="M",0,'Table 1'!N12)-IF('Table 2B'!M43="M",0,'Table 2B'!M43)))</f>
        <v>0</v>
      </c>
      <c r="N57" s="203">
        <f>IF(AND('Table 1'!O12="0",'Table 2B'!N43="0"),0,IF(AND('Table 1'!O12="L",'Table 2B'!N43="L"),"NC",IF('Table 1'!O12="M",0,'Table 1'!O12)-IF('Table 2B'!N43="M",0,'Table 2B'!N43)))</f>
        <v>0</v>
      </c>
      <c r="O57" s="203">
        <f>IF(AND('Table 1'!P12="0",'Table 2B'!O43="0"),0,IF(AND('Table 1'!P12="L",'Table 2B'!O43="L"),"NC",IF('Table 1'!P12="M",0,'Table 1'!P12)-IF('Table 2B'!O43="M",0,'Table 2B'!O43)))</f>
        <v>0</v>
      </c>
      <c r="P57" s="203">
        <f>IF(AND('Table 1'!Q12="0",'Table 2B'!P43="0"),0,IF(AND('Table 1'!Q12="L",'Table 2B'!P43="L"),"NC",IF('Table 1'!Q12="M",0,'Table 1'!Q12)-IF('Table 2B'!P43="M",0,'Table 2B'!P43)))</f>
        <v>0</v>
      </c>
      <c r="Q57" s="203">
        <f>IF(AND('Table 1'!R12="0",'Table 2B'!Q43="0"),0,IF(AND('Table 1'!R12="L",'Table 2B'!Q43="L"),"NC",IF('Table 1'!R12="M",0,'Table 1'!R12)-IF('Table 2B'!Q43="M",0,'Table 2B'!Q43)))</f>
        <v>0</v>
      </c>
      <c r="R57" s="203">
        <f>IF(AND('Table 1'!S12="0",'Table 2B'!R43="0"),0,IF(AND('Table 1'!S12="L",'Table 2B'!R43="L"),"NC",IF('Table 1'!S12="M",0,'Table 1'!S12)-IF('Table 2B'!R43="M",0,'Table 2B'!R43)))</f>
        <v>0</v>
      </c>
      <c r="S57" s="203">
        <f>IF(AND('Table 1'!T12="0",'Table 2B'!S43="0"),0,IF(AND('Table 1'!T12="L",'Table 2B'!S43="L"),"NC",IF('Table 1'!T12="M",0,'Table 1'!T12)-IF('Table 2B'!S43="M",0,'Table 2B'!S43)))</f>
        <v>0</v>
      </c>
      <c r="T57" s="203">
        <f>IF(AND('Table 1'!U12="0",'Table 2B'!T43="0"),0,IF(AND('Table 1'!U12="L",'Table 2B'!T43="L"),"NC",IF('Table 1'!U12="M",0,'Table 1'!U12)-IF('Table 2B'!T43="M",0,'Table 2B'!T43)))</f>
        <v>0</v>
      </c>
      <c r="U57" s="203">
        <f>IF(AND('Table 1'!V12="0",'Table 2B'!U43="0"),0,IF(AND('Table 1'!V12="L",'Table 2B'!U43="L"),"NC",IF('Table 1'!V12="M",0,'Table 1'!V12)-IF('Table 2B'!U43="M",0,'Table 2B'!U43)))</f>
        <v>0</v>
      </c>
      <c r="V57" s="203">
        <f>IF(AND('Table 1'!W12="0",'Table 2B'!V43="0"),0,IF(AND('Table 1'!W12="L",'Table 2B'!V43="L"),"NC",IF('Table 1'!W12="M",0,'Table 1'!W12)-IF('Table 2B'!V43="M",0,'Table 2B'!V43)))</f>
        <v>0</v>
      </c>
      <c r="W57" s="203">
        <f>IF(AND('Table 1'!X12="0",'Table 2B'!W43="0"),0,IF(AND('Table 1'!X12="L",'Table 2B'!W43="L"),"NC",IF('Table 1'!X12="M",0,'Table 1'!X12)-IF('Table 2B'!W43="M",0,'Table 2B'!W43)))</f>
        <v>0</v>
      </c>
      <c r="X57" s="203">
        <f>IF(AND('Table 1'!Y12="0",'Table 2B'!X43="0"),0,IF(AND('Table 1'!Y12="L",'Table 2B'!X43="L"),"NC",IF('Table 1'!Y12="M",0,'Table 1'!Y12)-IF('Table 2B'!X43="M",0,'Table 2B'!X43)))</f>
        <v>0</v>
      </c>
      <c r="Y57" s="321"/>
      <c r="Z57" s="322"/>
    </row>
  </sheetData>
  <sheetProtection algorithmName="SHA-512" hashValue="Dls5/YLS321Oo3YAd42y3cSF/TKfjx/rbHUHUVVcBxviX7narztXJtNLotv66wFWCuOCSItRwNU+HdpR1qDL/w==" saltValue="i8fUQcKz7vo+C+ALYhN6eg==" spinCount="100000" sheet="1" objects="1" formatColumns="0" formatRows="0" insertRows="0" insertHyperlinks="0" deleteRows="0"/>
  <mergeCells count="2">
    <mergeCell ref="D4:X4"/>
    <mergeCell ref="D51:X51"/>
  </mergeCells>
  <phoneticPr fontId="35" type="noConversion"/>
  <conditionalFormatting sqref="D11:V16 D20:V20 D24:V24 D26:V26 D29:V29 D33:V34 D38:V38 D43:V43">
    <cfRule type="cellIs" dxfId="21" priority="6" operator="equal">
      <formula>""</formula>
    </cfRule>
  </conditionalFormatting>
  <conditionalFormatting sqref="D51">
    <cfRule type="expression" dxfId="20" priority="167" stopIfTrue="1">
      <formula>COUNTA(D8:V8,D11:V16,D20:V20,D24:V24,D26:V26,D29:V29,D33:V34,D38:V38,D43:V43)/285*100&lt;&gt;100</formula>
    </cfRule>
  </conditionalFormatting>
  <conditionalFormatting sqref="W11:W16 W20 W24 W26 W29 W33:W34 W38 W43">
    <cfRule type="cellIs" dxfId="19" priority="2" operator="equal">
      <formula>""</formula>
    </cfRule>
  </conditionalFormatting>
  <conditionalFormatting sqref="X11:X16 X20 X24 X26 X29 X33:X34 X38 X43">
    <cfRule type="cellIs" dxfId="18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X9">
      <formula1>$AB$1:$AB$4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JL66"/>
  <sheetViews>
    <sheetView showGridLines="0" defaultGridColor="0" topLeftCell="B1" colorId="22" zoomScale="80" zoomScaleNormal="80" zoomScaleSheetLayoutView="80" workbookViewId="0"/>
  </sheetViews>
  <sheetFormatPr defaultColWidth="9.77734375" defaultRowHeight="15"/>
  <cols>
    <col min="1" max="1" width="11.5546875" style="20" hidden="1" customWidth="1"/>
    <col min="2" max="2" width="41.5546875" style="20" customWidth="1"/>
    <col min="3" max="3" width="63.6640625" style="25" customWidth="1"/>
    <col min="4" max="24" width="12.77734375" style="10" customWidth="1"/>
    <col min="25" max="25" width="65.33203125" style="10" customWidth="1"/>
    <col min="26" max="26" width="5.33203125" style="10" customWidth="1"/>
    <col min="27" max="27" width="1" style="10" customWidth="1"/>
    <col min="28" max="28" width="2.5546875" style="10" customWidth="1"/>
    <col min="29" max="29" width="8.33203125" style="10" bestFit="1" customWidth="1"/>
    <col min="30" max="30" width="13.109375" style="10" customWidth="1"/>
    <col min="31" max="31" width="9.33203125" style="10" customWidth="1"/>
    <col min="32" max="53" width="9.77734375" style="10"/>
    <col min="54" max="54" width="9.77734375" style="283"/>
    <col min="55" max="16384" width="9.77734375" style="10"/>
  </cols>
  <sheetData>
    <row r="1" spans="1:54" ht="18">
      <c r="A1" s="284"/>
      <c r="B1" s="284"/>
      <c r="C1" s="293" t="s">
        <v>580</v>
      </c>
      <c r="D1" s="22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B1" s="219" t="s">
        <v>454</v>
      </c>
      <c r="AC1" s="219" t="s">
        <v>1014</v>
      </c>
      <c r="AD1" s="219">
        <v>3</v>
      </c>
      <c r="AE1" s="219">
        <v>4</v>
      </c>
      <c r="AF1" s="219">
        <v>5</v>
      </c>
      <c r="AG1" s="219">
        <v>6</v>
      </c>
      <c r="AH1" s="219">
        <f>AG1+1</f>
        <v>7</v>
      </c>
      <c r="AI1" s="219">
        <f t="shared" ref="AI1:AT1" si="0">AH1+1</f>
        <v>8</v>
      </c>
      <c r="AJ1" s="219">
        <f t="shared" si="0"/>
        <v>9</v>
      </c>
      <c r="AK1" s="219">
        <f t="shared" si="0"/>
        <v>10</v>
      </c>
      <c r="AL1" s="219">
        <f t="shared" si="0"/>
        <v>11</v>
      </c>
      <c r="AM1" s="219">
        <f t="shared" si="0"/>
        <v>12</v>
      </c>
      <c r="AN1" s="219">
        <f t="shared" si="0"/>
        <v>13</v>
      </c>
      <c r="AO1" s="219">
        <f t="shared" si="0"/>
        <v>14</v>
      </c>
      <c r="AP1" s="219">
        <f t="shared" si="0"/>
        <v>15</v>
      </c>
      <c r="AQ1" s="219">
        <f t="shared" si="0"/>
        <v>16</v>
      </c>
      <c r="AR1" s="219">
        <f t="shared" si="0"/>
        <v>17</v>
      </c>
      <c r="AS1" s="219">
        <f t="shared" si="0"/>
        <v>18</v>
      </c>
      <c r="AT1" s="219">
        <f t="shared" si="0"/>
        <v>19</v>
      </c>
    </row>
    <row r="2" spans="1:54" ht="11.25" customHeight="1" thickBot="1">
      <c r="A2" s="284"/>
      <c r="B2" s="284"/>
      <c r="C2" s="294"/>
      <c r="D2" s="295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13"/>
      <c r="AB2" s="219" t="s">
        <v>455</v>
      </c>
      <c r="AC2" s="219">
        <f>IF($AC$1='Cover page'!$N$2,0,1)</f>
        <v>0</v>
      </c>
    </row>
    <row r="3" spans="1:54" ht="17.25" thickTop="1" thickBot="1">
      <c r="A3" s="286"/>
      <c r="B3" s="326"/>
      <c r="C3" s="296"/>
      <c r="D3" s="297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330"/>
      <c r="AA3" s="13"/>
      <c r="AB3" s="219" t="s">
        <v>456</v>
      </c>
    </row>
    <row r="4" spans="1:54" ht="16.5" thickBot="1">
      <c r="A4" s="234"/>
      <c r="B4" s="231"/>
      <c r="C4" s="224" t="str">
        <f>'Cover page'!E13</f>
        <v>Member State: Hungary</v>
      </c>
      <c r="D4" s="541" t="s">
        <v>2</v>
      </c>
      <c r="E4" s="542"/>
      <c r="F4" s="542"/>
      <c r="G4" s="542"/>
      <c r="H4" s="542"/>
      <c r="I4" s="542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542"/>
      <c r="V4" s="542"/>
      <c r="W4" s="542"/>
      <c r="X4" s="542"/>
      <c r="Y4" s="368"/>
      <c r="Z4" s="331"/>
      <c r="AB4" s="219" t="s">
        <v>457</v>
      </c>
      <c r="AE4" s="13"/>
    </row>
    <row r="5" spans="1:54" ht="15.75">
      <c r="A5" s="234" t="s">
        <v>124</v>
      </c>
      <c r="B5" s="327" t="s">
        <v>485</v>
      </c>
      <c r="C5" s="22" t="s">
        <v>1018</v>
      </c>
      <c r="D5" s="299">
        <f>'Table 1'!E5</f>
        <v>1995</v>
      </c>
      <c r="E5" s="299">
        <f>D5+1</f>
        <v>1996</v>
      </c>
      <c r="F5" s="299">
        <f t="shared" ref="F5:I5" si="1">E5+1</f>
        <v>1997</v>
      </c>
      <c r="G5" s="299">
        <f t="shared" si="1"/>
        <v>1998</v>
      </c>
      <c r="H5" s="299">
        <f t="shared" si="1"/>
        <v>1999</v>
      </c>
      <c r="I5" s="299">
        <f t="shared" si="1"/>
        <v>2000</v>
      </c>
      <c r="J5" s="299">
        <f t="shared" ref="J5" si="2">I5+1</f>
        <v>2001</v>
      </c>
      <c r="K5" s="299">
        <f t="shared" ref="K5" si="3">J5+1</f>
        <v>2002</v>
      </c>
      <c r="L5" s="299">
        <f t="shared" ref="L5" si="4">K5+1</f>
        <v>2003</v>
      </c>
      <c r="M5" s="299">
        <f t="shared" ref="M5" si="5">L5+1</f>
        <v>2004</v>
      </c>
      <c r="N5" s="299">
        <f t="shared" ref="N5" si="6">M5+1</f>
        <v>2005</v>
      </c>
      <c r="O5" s="299">
        <f t="shared" ref="O5" si="7">N5+1</f>
        <v>2006</v>
      </c>
      <c r="P5" s="299">
        <f t="shared" ref="P5" si="8">O5+1</f>
        <v>2007</v>
      </c>
      <c r="Q5" s="299">
        <f t="shared" ref="Q5" si="9">P5+1</f>
        <v>2008</v>
      </c>
      <c r="R5" s="299">
        <f t="shared" ref="R5" si="10">Q5+1</f>
        <v>2009</v>
      </c>
      <c r="S5" s="299">
        <f t="shared" ref="S5" si="11">R5+1</f>
        <v>2010</v>
      </c>
      <c r="T5" s="299">
        <f t="shared" ref="T5" si="12">S5+1</f>
        <v>2011</v>
      </c>
      <c r="U5" s="299">
        <f t="shared" ref="U5" si="13">T5+1</f>
        <v>2012</v>
      </c>
      <c r="V5" s="299">
        <f t="shared" ref="V5:X5" si="14">U5+1</f>
        <v>2013</v>
      </c>
      <c r="W5" s="299">
        <f t="shared" si="14"/>
        <v>2014</v>
      </c>
      <c r="X5" s="299">
        <f t="shared" si="14"/>
        <v>2015</v>
      </c>
      <c r="Y5" s="333"/>
      <c r="Z5" s="331"/>
      <c r="AE5" s="13"/>
    </row>
    <row r="6" spans="1:54" ht="15.75">
      <c r="A6" s="234"/>
      <c r="B6" s="288"/>
      <c r="C6" s="238" t="str">
        <f>'Cover page'!E14</f>
        <v>Date: 09/04/2020</v>
      </c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1"/>
      <c r="W6" s="301"/>
      <c r="X6" s="301"/>
      <c r="Y6" s="334"/>
      <c r="Z6" s="331"/>
      <c r="AE6" s="13"/>
    </row>
    <row r="7" spans="1:54" ht="10.5" customHeight="1" thickBot="1">
      <c r="A7" s="234"/>
      <c r="B7" s="289"/>
      <c r="C7" s="335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512"/>
      <c r="W7" s="512"/>
      <c r="X7" s="512"/>
      <c r="Y7" s="336"/>
      <c r="Z7" s="331"/>
      <c r="AE7" s="13"/>
    </row>
    <row r="8" spans="1:54" ht="17.25" thickTop="1" thickBot="1">
      <c r="A8" s="290" t="s">
        <v>242</v>
      </c>
      <c r="B8" s="414" t="s">
        <v>736</v>
      </c>
      <c r="C8" s="306" t="s">
        <v>50</v>
      </c>
      <c r="D8" s="84">
        <v>-4063</v>
      </c>
      <c r="E8" s="85">
        <v>22988</v>
      </c>
      <c r="F8" s="85">
        <v>4814</v>
      </c>
      <c r="G8" s="85">
        <v>-8769</v>
      </c>
      <c r="H8" s="85">
        <v>22993</v>
      </c>
      <c r="I8" s="85">
        <v>4970</v>
      </c>
      <c r="J8" s="85">
        <v>1291</v>
      </c>
      <c r="K8" s="85">
        <v>-104968</v>
      </c>
      <c r="L8" s="85">
        <v>-31671</v>
      </c>
      <c r="M8" s="85">
        <v>-16464</v>
      </c>
      <c r="N8" s="85">
        <v>-81375</v>
      </c>
      <c r="O8" s="85">
        <v>-156510</v>
      </c>
      <c r="P8" s="85">
        <v>-53858</v>
      </c>
      <c r="Q8" s="85">
        <v>15566</v>
      </c>
      <c r="R8" s="85">
        <v>-82537</v>
      </c>
      <c r="S8" s="85">
        <v>-231989</v>
      </c>
      <c r="T8" s="85">
        <v>141614</v>
      </c>
      <c r="U8" s="85">
        <v>90339</v>
      </c>
      <c r="V8" s="418">
        <v>114817</v>
      </c>
      <c r="W8" s="418">
        <v>89510.400000000373</v>
      </c>
      <c r="X8" s="418">
        <v>13554.399999999907</v>
      </c>
      <c r="Y8" s="11"/>
      <c r="Z8" s="49"/>
      <c r="AE8" s="13"/>
      <c r="BB8" s="283" t="str">
        <f>CountryCode &amp; ".T2.WB.S1313.MNAC." &amp; RefVintage</f>
        <v>HU.T2.WB.S1313.MNAC.W.2020</v>
      </c>
    </row>
    <row r="9" spans="1:54" ht="16.5" thickTop="1">
      <c r="A9" s="290"/>
      <c r="B9" s="150"/>
      <c r="C9" s="307" t="s">
        <v>81</v>
      </c>
      <c r="D9" s="140" t="s">
        <v>454</v>
      </c>
      <c r="E9" s="140" t="s">
        <v>454</v>
      </c>
      <c r="F9" s="140" t="s">
        <v>454</v>
      </c>
      <c r="G9" s="140" t="s">
        <v>454</v>
      </c>
      <c r="H9" s="140" t="s">
        <v>454</v>
      </c>
      <c r="I9" s="140" t="s">
        <v>454</v>
      </c>
      <c r="J9" s="140" t="s">
        <v>454</v>
      </c>
      <c r="K9" s="140" t="s">
        <v>454</v>
      </c>
      <c r="L9" s="140" t="s">
        <v>454</v>
      </c>
      <c r="M9" s="140" t="s">
        <v>454</v>
      </c>
      <c r="N9" s="140" t="s">
        <v>454</v>
      </c>
      <c r="O9" s="140" t="s">
        <v>454</v>
      </c>
      <c r="P9" s="140" t="s">
        <v>454</v>
      </c>
      <c r="Q9" s="140" t="s">
        <v>456</v>
      </c>
      <c r="R9" s="140" t="s">
        <v>456</v>
      </c>
      <c r="S9" s="140" t="s">
        <v>456</v>
      </c>
      <c r="T9" s="140" t="s">
        <v>456</v>
      </c>
      <c r="U9" s="140" t="s">
        <v>456</v>
      </c>
      <c r="V9" s="140" t="s">
        <v>454</v>
      </c>
      <c r="W9" s="140" t="s">
        <v>454</v>
      </c>
      <c r="X9" s="140" t="s">
        <v>454</v>
      </c>
      <c r="Y9" s="132"/>
      <c r="Z9" s="50"/>
      <c r="AE9" s="13"/>
    </row>
    <row r="10" spans="1:54" ht="9.75" customHeight="1">
      <c r="A10" s="290"/>
      <c r="B10" s="150"/>
      <c r="C10" s="307"/>
      <c r="D10" s="506">
        <f t="shared" ref="D10:P10" si="15">IFERROR(VLOOKUP(D9,StatusTable,2,FALSE), -1)</f>
        <v>10</v>
      </c>
      <c r="E10" s="507">
        <f t="shared" si="15"/>
        <v>10</v>
      </c>
      <c r="F10" s="507">
        <f t="shared" si="15"/>
        <v>10</v>
      </c>
      <c r="G10" s="507">
        <f t="shared" si="15"/>
        <v>10</v>
      </c>
      <c r="H10" s="507">
        <f t="shared" si="15"/>
        <v>10</v>
      </c>
      <c r="I10" s="507">
        <f t="shared" si="15"/>
        <v>10</v>
      </c>
      <c r="J10" s="507">
        <f t="shared" si="15"/>
        <v>10</v>
      </c>
      <c r="K10" s="507">
        <f t="shared" si="15"/>
        <v>10</v>
      </c>
      <c r="L10" s="507">
        <f t="shared" si="15"/>
        <v>10</v>
      </c>
      <c r="M10" s="507">
        <f t="shared" si="15"/>
        <v>10</v>
      </c>
      <c r="N10" s="507">
        <f t="shared" si="15"/>
        <v>10</v>
      </c>
      <c r="O10" s="507">
        <f t="shared" si="15"/>
        <v>10</v>
      </c>
      <c r="P10" s="507">
        <f t="shared" si="15"/>
        <v>10</v>
      </c>
      <c r="Q10" s="507">
        <f t="shared" ref="Q10" si="16">IFERROR(VLOOKUP(Q9,StatusTable,2,FALSE), -1)</f>
        <v>12</v>
      </c>
      <c r="R10" s="507">
        <f t="shared" ref="R10" si="17">IFERROR(VLOOKUP(R9,StatusTable,2,FALSE), -1)</f>
        <v>12</v>
      </c>
      <c r="S10" s="507">
        <f t="shared" ref="S10:X10" si="18">IFERROR(VLOOKUP(S9,StatusTable,2,FALSE), -1)</f>
        <v>12</v>
      </c>
      <c r="T10" s="507">
        <f t="shared" si="18"/>
        <v>12</v>
      </c>
      <c r="U10" s="507">
        <f t="shared" si="18"/>
        <v>12</v>
      </c>
      <c r="V10" s="507">
        <f t="shared" si="18"/>
        <v>10</v>
      </c>
      <c r="W10" s="507">
        <f t="shared" si="18"/>
        <v>10</v>
      </c>
      <c r="X10" s="507">
        <f t="shared" si="18"/>
        <v>10</v>
      </c>
      <c r="Y10" s="118"/>
      <c r="Z10" s="50"/>
      <c r="AE10" s="13"/>
      <c r="BB10" s="283" t="str">
        <f>CountryCode &amp; ".T2.WB_STATUS.S1313.MNAC." &amp; RefVintage</f>
        <v>HU.T2.WB_STATUS.S1313.MNAC.W.2020</v>
      </c>
    </row>
    <row r="11" spans="1:54" ht="15.75">
      <c r="A11" s="290" t="s">
        <v>243</v>
      </c>
      <c r="B11" s="414" t="s">
        <v>737</v>
      </c>
      <c r="C11" s="308" t="s">
        <v>90</v>
      </c>
      <c r="D11" s="119">
        <v>-8533</v>
      </c>
      <c r="E11" s="119">
        <v>-5007</v>
      </c>
      <c r="F11" s="119">
        <v>-19093</v>
      </c>
      <c r="G11" s="119">
        <v>-14460</v>
      </c>
      <c r="H11" s="119">
        <v>-14539</v>
      </c>
      <c r="I11" s="119">
        <v>-19235</v>
      </c>
      <c r="J11" s="119">
        <v>-913</v>
      </c>
      <c r="K11" s="119">
        <v>-12803</v>
      </c>
      <c r="L11" s="119">
        <v>-8658</v>
      </c>
      <c r="M11" s="119">
        <v>-7754</v>
      </c>
      <c r="N11" s="119">
        <v>-16985</v>
      </c>
      <c r="O11" s="119">
        <v>-10839</v>
      </c>
      <c r="P11" s="119">
        <v>-25311</v>
      </c>
      <c r="Q11" s="119">
        <v>-16580</v>
      </c>
      <c r="R11" s="119">
        <v>-1019</v>
      </c>
      <c r="S11" s="119">
        <v>621</v>
      </c>
      <c r="T11" s="119">
        <v>-26302</v>
      </c>
      <c r="U11" s="119">
        <v>25125</v>
      </c>
      <c r="V11" s="119">
        <v>8407</v>
      </c>
      <c r="W11" s="119">
        <v>-46790.97</v>
      </c>
      <c r="X11" s="119">
        <v>-6172.71450000001</v>
      </c>
      <c r="Y11" s="120"/>
      <c r="Z11" s="50"/>
      <c r="AE11" s="13"/>
      <c r="BB11" s="283" t="str">
        <f>CountryCode &amp; ".T2.FT.S1313.MNAC." &amp; RefVintage</f>
        <v>HU.T2.FT.S1313.MNAC.W.2020</v>
      </c>
    </row>
    <row r="12" spans="1:54" ht="15.75">
      <c r="A12" s="290" t="s">
        <v>244</v>
      </c>
      <c r="B12" s="414" t="s">
        <v>738</v>
      </c>
      <c r="C12" s="309" t="s">
        <v>52</v>
      </c>
      <c r="D12" s="119">
        <v>32879</v>
      </c>
      <c r="E12" s="119">
        <v>33231</v>
      </c>
      <c r="F12" s="119">
        <v>35835</v>
      </c>
      <c r="G12" s="119">
        <v>-12362</v>
      </c>
      <c r="H12" s="119">
        <v>-6264</v>
      </c>
      <c r="I12" s="119">
        <v>-5015</v>
      </c>
      <c r="J12" s="119">
        <v>-3188</v>
      </c>
      <c r="K12" s="119">
        <v>-8254</v>
      </c>
      <c r="L12" s="119">
        <v>-7970</v>
      </c>
      <c r="M12" s="119">
        <v>-5101</v>
      </c>
      <c r="N12" s="119">
        <v>-6194</v>
      </c>
      <c r="O12" s="119">
        <v>-5430</v>
      </c>
      <c r="P12" s="119">
        <v>-6547</v>
      </c>
      <c r="Q12" s="119">
        <v>-7434</v>
      </c>
      <c r="R12" s="119">
        <v>-4609</v>
      </c>
      <c r="S12" s="119">
        <v>-1982</v>
      </c>
      <c r="T12" s="119">
        <v>-3140</v>
      </c>
      <c r="U12" s="119">
        <v>12039</v>
      </c>
      <c r="V12" s="119">
        <v>-1710</v>
      </c>
      <c r="W12" s="119">
        <v>-3192</v>
      </c>
      <c r="X12" s="119">
        <v>-8352.3320000000094</v>
      </c>
      <c r="Y12" s="120"/>
      <c r="Z12" s="50"/>
      <c r="AE12" s="13"/>
      <c r="BB12" s="283" t="str">
        <f>CountryCode &amp; ".T2.F4.S1313.MNAC." &amp; RefVintage</f>
        <v>HU.T2.F4.S1313.MNAC.W.2020</v>
      </c>
    </row>
    <row r="13" spans="1:54" ht="15.75">
      <c r="A13" s="290" t="s">
        <v>245</v>
      </c>
      <c r="B13" s="414" t="s">
        <v>739</v>
      </c>
      <c r="C13" s="310" t="s">
        <v>53</v>
      </c>
      <c r="D13" s="119">
        <v>-18343</v>
      </c>
      <c r="E13" s="119">
        <v>-20844</v>
      </c>
      <c r="F13" s="119">
        <v>-71207</v>
      </c>
      <c r="G13" s="119">
        <v>561</v>
      </c>
      <c r="H13" s="119">
        <v>-11680</v>
      </c>
      <c r="I13" s="119">
        <v>-20781</v>
      </c>
      <c r="J13" s="119">
        <v>738</v>
      </c>
      <c r="K13" s="119">
        <v>-5817</v>
      </c>
      <c r="L13" s="119">
        <v>1463</v>
      </c>
      <c r="M13" s="119">
        <v>-3914</v>
      </c>
      <c r="N13" s="119">
        <v>-10633</v>
      </c>
      <c r="O13" s="119">
        <v>-7711</v>
      </c>
      <c r="P13" s="119">
        <v>-18207</v>
      </c>
      <c r="Q13" s="119">
        <v>-16270</v>
      </c>
      <c r="R13" s="119">
        <v>3017</v>
      </c>
      <c r="S13" s="119">
        <v>1476</v>
      </c>
      <c r="T13" s="119">
        <v>2360</v>
      </c>
      <c r="U13" s="119">
        <v>4669</v>
      </c>
      <c r="V13" s="119">
        <v>8119</v>
      </c>
      <c r="W13" s="119">
        <v>-42401.97</v>
      </c>
      <c r="X13" s="119">
        <v>-952.29550000000017</v>
      </c>
      <c r="Y13" s="120"/>
      <c r="Z13" s="50"/>
      <c r="AE13" s="13"/>
      <c r="BB13" s="283" t="str">
        <f>CountryCode &amp; ".T2.F5.S1313.MNAC." &amp; RefVintage</f>
        <v>HU.T2.F5.S1313.MNAC.W.2020</v>
      </c>
    </row>
    <row r="14" spans="1:54" ht="15.75">
      <c r="A14" s="290" t="s">
        <v>246</v>
      </c>
      <c r="B14" s="414" t="s">
        <v>740</v>
      </c>
      <c r="C14" s="310" t="s">
        <v>34</v>
      </c>
      <c r="D14" s="119">
        <v>-23069</v>
      </c>
      <c r="E14" s="119">
        <v>-17394</v>
      </c>
      <c r="F14" s="119">
        <v>16279</v>
      </c>
      <c r="G14" s="119">
        <v>-2659</v>
      </c>
      <c r="H14" s="119">
        <v>3405</v>
      </c>
      <c r="I14" s="119">
        <v>6561</v>
      </c>
      <c r="J14" s="119">
        <v>1537</v>
      </c>
      <c r="K14" s="119">
        <v>1268</v>
      </c>
      <c r="L14" s="119">
        <v>-2151</v>
      </c>
      <c r="M14" s="119">
        <v>1261</v>
      </c>
      <c r="N14" s="119">
        <v>-158</v>
      </c>
      <c r="O14" s="119">
        <v>2302</v>
      </c>
      <c r="P14" s="119">
        <v>-557</v>
      </c>
      <c r="Q14" s="119">
        <v>7124</v>
      </c>
      <c r="R14" s="119">
        <v>573</v>
      </c>
      <c r="S14" s="119">
        <v>1127</v>
      </c>
      <c r="T14" s="119">
        <v>-25522</v>
      </c>
      <c r="U14" s="119">
        <v>8417</v>
      </c>
      <c r="V14" s="119">
        <v>1998</v>
      </c>
      <c r="W14" s="119">
        <v>-1197</v>
      </c>
      <c r="X14" s="119">
        <v>3131.9129999999996</v>
      </c>
      <c r="Y14" s="120"/>
      <c r="Z14" s="50"/>
      <c r="AE14" s="13"/>
      <c r="BB14" s="283" t="str">
        <f>CountryCode &amp; ".T2.OFT.S1313.MNAC." &amp; RefVintage</f>
        <v>HU.T2.OFT.S1313.MNAC.W.2020</v>
      </c>
    </row>
    <row r="15" spans="1:54" ht="16.5" thickBot="1">
      <c r="A15" s="290" t="s">
        <v>247</v>
      </c>
      <c r="B15" s="414" t="s">
        <v>741</v>
      </c>
      <c r="C15" s="311" t="s">
        <v>513</v>
      </c>
      <c r="D15" s="119" t="s">
        <v>1147</v>
      </c>
      <c r="E15" s="119" t="s">
        <v>1147</v>
      </c>
      <c r="F15" s="119" t="s">
        <v>1147</v>
      </c>
      <c r="G15" s="119" t="s">
        <v>1147</v>
      </c>
      <c r="H15" s="119" t="s">
        <v>1147</v>
      </c>
      <c r="I15" s="119" t="s">
        <v>1147</v>
      </c>
      <c r="J15" s="119" t="s">
        <v>1147</v>
      </c>
      <c r="K15" s="119" t="s">
        <v>1147</v>
      </c>
      <c r="L15" s="119" t="s">
        <v>1147</v>
      </c>
      <c r="M15" s="119" t="s">
        <v>1147</v>
      </c>
      <c r="N15" s="119" t="s">
        <v>1147</v>
      </c>
      <c r="O15" s="119" t="s">
        <v>1147</v>
      </c>
      <c r="P15" s="119" t="s">
        <v>1147</v>
      </c>
      <c r="Q15" s="119">
        <v>0</v>
      </c>
      <c r="R15" s="119">
        <v>0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20"/>
      <c r="Z15" s="50"/>
      <c r="AE15" s="13"/>
      <c r="BB15" s="283" t="str">
        <f>CountryCode &amp; ".T2.OFTDL.S1313.MNAC." &amp; RefVintage</f>
        <v>HU.T2.OFTDL.S1313.MNAC.W.2020</v>
      </c>
    </row>
    <row r="16" spans="1:54" ht="16.5" thickBot="1">
      <c r="A16" s="291" t="s">
        <v>489</v>
      </c>
      <c r="B16" s="414" t="s">
        <v>742</v>
      </c>
      <c r="C16" s="217" t="s">
        <v>514</v>
      </c>
      <c r="D16" s="119" t="s">
        <v>1019</v>
      </c>
      <c r="E16" s="119" t="s">
        <v>1019</v>
      </c>
      <c r="F16" s="119" t="s">
        <v>1019</v>
      </c>
      <c r="G16" s="119" t="s">
        <v>1019</v>
      </c>
      <c r="H16" s="119" t="s">
        <v>1019</v>
      </c>
      <c r="I16" s="119" t="s">
        <v>1019</v>
      </c>
      <c r="J16" s="119" t="s">
        <v>1019</v>
      </c>
      <c r="K16" s="119" t="s">
        <v>1019</v>
      </c>
      <c r="L16" s="119" t="s">
        <v>1019</v>
      </c>
      <c r="M16" s="119" t="s">
        <v>1019</v>
      </c>
      <c r="N16" s="119" t="s">
        <v>1019</v>
      </c>
      <c r="O16" s="119" t="s">
        <v>1019</v>
      </c>
      <c r="P16" s="119" t="s">
        <v>1019</v>
      </c>
      <c r="Q16" s="119" t="s">
        <v>1019</v>
      </c>
      <c r="R16" s="119" t="s">
        <v>1019</v>
      </c>
      <c r="S16" s="119" t="s">
        <v>1019</v>
      </c>
      <c r="T16" s="119" t="s">
        <v>1019</v>
      </c>
      <c r="U16" s="119" t="s">
        <v>1019</v>
      </c>
      <c r="V16" s="119" t="s">
        <v>1019</v>
      </c>
      <c r="W16" s="119" t="s">
        <v>1019</v>
      </c>
      <c r="X16" s="119" t="s">
        <v>1019</v>
      </c>
      <c r="Y16" s="120"/>
      <c r="Z16" s="50"/>
      <c r="AE16" s="13"/>
      <c r="BB16" s="283" t="str">
        <f>CountryCode &amp; ".T2.F71K.S1313.MNAC." &amp; RefVintage</f>
        <v>HU.T2.F71K.S1313.MNAC.W.2020</v>
      </c>
    </row>
    <row r="17" spans="1:54" ht="15.75">
      <c r="A17" s="159" t="s">
        <v>248</v>
      </c>
      <c r="B17" s="414" t="s">
        <v>743</v>
      </c>
      <c r="C17" s="130" t="s">
        <v>515</v>
      </c>
      <c r="D17" s="131"/>
      <c r="E17" s="131">
        <v>-17929</v>
      </c>
      <c r="F17" s="131">
        <v>15950</v>
      </c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529" t="s">
        <v>1164</v>
      </c>
      <c r="Z17" s="50"/>
      <c r="AE17" s="13"/>
      <c r="BB17" s="283" t="str">
        <f>CountryCode &amp; ".T2.OFT1.S1313.MNAC." &amp; RefVintage</f>
        <v>HU.T2.OFT1.S1313.MNAC.W.2020</v>
      </c>
    </row>
    <row r="18" spans="1:54" ht="15.75">
      <c r="A18" s="159" t="s">
        <v>249</v>
      </c>
      <c r="B18" s="414" t="s">
        <v>744</v>
      </c>
      <c r="C18" s="130" t="s">
        <v>516</v>
      </c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22"/>
      <c r="Z18" s="50"/>
      <c r="AE18" s="13"/>
      <c r="BB18" s="283" t="str">
        <f>CountryCode &amp; ".T2.OFT2.S1313.MNAC." &amp; RefVintage</f>
        <v>HU.T2.OFT2.S1313.MNAC.W.2020</v>
      </c>
    </row>
    <row r="19" spans="1:54" ht="15.75">
      <c r="A19" s="290"/>
      <c r="B19" s="150"/>
      <c r="C19" s="161"/>
      <c r="D19" s="134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20"/>
      <c r="Z19" s="50"/>
      <c r="AE19" s="13"/>
    </row>
    <row r="20" spans="1:54" ht="15.75">
      <c r="A20" s="290" t="s">
        <v>250</v>
      </c>
      <c r="B20" s="414" t="s">
        <v>751</v>
      </c>
      <c r="C20" s="308" t="s">
        <v>119</v>
      </c>
      <c r="D20" s="133" t="s">
        <v>1019</v>
      </c>
      <c r="E20" s="133" t="s">
        <v>1019</v>
      </c>
      <c r="F20" s="133" t="s">
        <v>1019</v>
      </c>
      <c r="G20" s="133" t="s">
        <v>1019</v>
      </c>
      <c r="H20" s="133" t="s">
        <v>1019</v>
      </c>
      <c r="I20" s="133" t="s">
        <v>1019</v>
      </c>
      <c r="J20" s="133" t="s">
        <v>1019</v>
      </c>
      <c r="K20" s="133" t="s">
        <v>1019</v>
      </c>
      <c r="L20" s="133" t="s">
        <v>1019</v>
      </c>
      <c r="M20" s="133" t="s">
        <v>1019</v>
      </c>
      <c r="N20" s="133" t="s">
        <v>1019</v>
      </c>
      <c r="O20" s="133" t="s">
        <v>1019</v>
      </c>
      <c r="P20" s="133" t="s">
        <v>1019</v>
      </c>
      <c r="Q20" s="133" t="s">
        <v>1019</v>
      </c>
      <c r="R20" s="133" t="s">
        <v>1019</v>
      </c>
      <c r="S20" s="133" t="s">
        <v>1019</v>
      </c>
      <c r="T20" s="133" t="s">
        <v>1019</v>
      </c>
      <c r="U20" s="133" t="s">
        <v>1019</v>
      </c>
      <c r="V20" s="133" t="s">
        <v>1019</v>
      </c>
      <c r="W20" s="133" t="s">
        <v>1019</v>
      </c>
      <c r="X20" s="133">
        <v>50.263000000268221</v>
      </c>
      <c r="Y20" s="120"/>
      <c r="Z20" s="50"/>
      <c r="AE20" s="13"/>
      <c r="BB20" s="283" t="str">
        <f>CountryCode &amp; ".T2.ONFT.S1313.MNAC." &amp; RefVintage</f>
        <v>HU.T2.ONFT.S1313.MNAC.W.2020</v>
      </c>
    </row>
    <row r="21" spans="1:54" ht="15.75">
      <c r="A21" s="159" t="s">
        <v>251</v>
      </c>
      <c r="B21" s="414" t="s">
        <v>752</v>
      </c>
      <c r="C21" s="130" t="s">
        <v>69</v>
      </c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>
        <v>50.263000000268221</v>
      </c>
      <c r="Y21" s="122"/>
      <c r="Z21" s="50"/>
      <c r="AE21" s="13"/>
      <c r="BB21" s="283" t="str">
        <f>CountryCode &amp; ".T2.ONFT1.S1313.MNAC." &amp; RefVintage</f>
        <v>HU.T2.ONFT1.S1313.MNAC.W.2020</v>
      </c>
    </row>
    <row r="22" spans="1:54" ht="15.75">
      <c r="A22" s="159" t="s">
        <v>252</v>
      </c>
      <c r="B22" s="414" t="s">
        <v>753</v>
      </c>
      <c r="C22" s="130" t="s">
        <v>70</v>
      </c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22"/>
      <c r="Z22" s="50"/>
      <c r="AE22" s="13"/>
      <c r="BB22" s="283" t="str">
        <f>CountryCode &amp; ".T2.ONFT2.S1313.MNAC." &amp; RefVintage</f>
        <v>HU.T2.ONFT2.S1313.MNAC.W.2020</v>
      </c>
    </row>
    <row r="23" spans="1:54" ht="15.75">
      <c r="A23" s="290"/>
      <c r="B23" s="153"/>
      <c r="C23" s="162"/>
      <c r="D23" s="134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20"/>
      <c r="Z23" s="50"/>
      <c r="AE23" s="13"/>
    </row>
    <row r="24" spans="1:54" ht="15.75">
      <c r="A24" s="290" t="s">
        <v>253</v>
      </c>
      <c r="B24" s="414" t="s">
        <v>756</v>
      </c>
      <c r="C24" s="215" t="s">
        <v>471</v>
      </c>
      <c r="D24" s="133">
        <v>0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262</v>
      </c>
      <c r="K24" s="133">
        <v>202</v>
      </c>
      <c r="L24" s="133">
        <v>-461</v>
      </c>
      <c r="M24" s="133">
        <v>463</v>
      </c>
      <c r="N24" s="133">
        <v>-255</v>
      </c>
      <c r="O24" s="133">
        <v>-1094</v>
      </c>
      <c r="P24" s="133">
        <v>-860</v>
      </c>
      <c r="Q24" s="133">
        <v>-1795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20"/>
      <c r="Z24" s="50"/>
      <c r="AE24" s="13"/>
      <c r="BB24" s="283" t="str">
        <f>CountryCode &amp; ".T2.D41DIF.S1313.MNAC." &amp; RefVintage</f>
        <v>HU.T2.D41DIF.S1313.MNAC.W.2020</v>
      </c>
    </row>
    <row r="25" spans="1:54" ht="15.75">
      <c r="A25" s="290"/>
      <c r="B25" s="153"/>
      <c r="C25" s="162"/>
      <c r="D25" s="134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20"/>
      <c r="Z25" s="50"/>
      <c r="AE25" s="13"/>
    </row>
    <row r="26" spans="1:54" ht="15.75">
      <c r="A26" s="290" t="s">
        <v>546</v>
      </c>
      <c r="B26" s="414" t="s">
        <v>763</v>
      </c>
      <c r="C26" s="308" t="s">
        <v>47</v>
      </c>
      <c r="D26" s="133">
        <v>0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-420</v>
      </c>
      <c r="L26" s="133">
        <v>1858</v>
      </c>
      <c r="M26" s="133">
        <v>2651</v>
      </c>
      <c r="N26" s="133">
        <v>3178</v>
      </c>
      <c r="O26" s="133">
        <v>574</v>
      </c>
      <c r="P26" s="133">
        <v>903</v>
      </c>
      <c r="Q26" s="133">
        <v>-23335</v>
      </c>
      <c r="R26" s="133">
        <v>-1484</v>
      </c>
      <c r="S26" s="133">
        <v>5423</v>
      </c>
      <c r="T26" s="133">
        <v>4667</v>
      </c>
      <c r="U26" s="133">
        <v>2877</v>
      </c>
      <c r="V26" s="133">
        <v>12910</v>
      </c>
      <c r="W26" s="133">
        <v>-9336</v>
      </c>
      <c r="X26" s="133">
        <v>9951.0869999998922</v>
      </c>
      <c r="Y26" s="120"/>
      <c r="Z26" s="50"/>
      <c r="AE26" s="13"/>
      <c r="BB26" s="283" t="str">
        <f>CountryCode &amp; ".T2.F8ASS.S1313.MNAC." &amp; RefVintage</f>
        <v>HU.T2.F8ASS.S1313.MNAC.W.2020</v>
      </c>
    </row>
    <row r="27" spans="1:54" ht="15.75">
      <c r="A27" s="159" t="s">
        <v>547</v>
      </c>
      <c r="B27" s="414" t="s">
        <v>764</v>
      </c>
      <c r="C27" s="130" t="s">
        <v>1154</v>
      </c>
      <c r="D27" s="131"/>
      <c r="E27" s="131"/>
      <c r="F27" s="131"/>
      <c r="G27" s="131"/>
      <c r="H27" s="131"/>
      <c r="I27" s="131"/>
      <c r="J27" s="131"/>
      <c r="K27" s="131">
        <v>-420</v>
      </c>
      <c r="L27" s="131">
        <v>1858</v>
      </c>
      <c r="M27" s="131">
        <v>2651</v>
      </c>
      <c r="N27" s="131">
        <v>3178</v>
      </c>
      <c r="O27" s="131">
        <v>574</v>
      </c>
      <c r="P27" s="131">
        <v>903</v>
      </c>
      <c r="Q27" s="131">
        <v>826</v>
      </c>
      <c r="R27" s="131">
        <v>-674</v>
      </c>
      <c r="S27" s="131">
        <v>2702</v>
      </c>
      <c r="T27" s="131">
        <v>-902</v>
      </c>
      <c r="U27" s="131">
        <v>1712</v>
      </c>
      <c r="V27" s="131">
        <v>11911</v>
      </c>
      <c r="W27" s="131">
        <v>-9901</v>
      </c>
      <c r="X27" s="131">
        <v>10599</v>
      </c>
      <c r="Y27" s="122"/>
      <c r="Z27" s="50"/>
      <c r="AE27" s="13"/>
      <c r="BB27" s="283" t="str">
        <f>CountryCode &amp; ".T2.F8ASS1.S1313.MNAC." &amp; RefVintage</f>
        <v>HU.T2.F8ASS1.S1313.MNAC.W.2020</v>
      </c>
    </row>
    <row r="28" spans="1:54" ht="15.75">
      <c r="A28" s="159" t="s">
        <v>548</v>
      </c>
      <c r="B28" s="414" t="s">
        <v>765</v>
      </c>
      <c r="C28" s="130" t="s">
        <v>1042</v>
      </c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>
        <v>-24161</v>
      </c>
      <c r="R28" s="131">
        <v>-810</v>
      </c>
      <c r="S28" s="131">
        <v>2721</v>
      </c>
      <c r="T28" s="131">
        <v>5569</v>
      </c>
      <c r="U28" s="131">
        <v>1165</v>
      </c>
      <c r="V28" s="131">
        <v>999</v>
      </c>
      <c r="W28" s="131">
        <v>565</v>
      </c>
      <c r="X28" s="131">
        <v>-647.91300000010722</v>
      </c>
      <c r="Y28" s="529" t="s">
        <v>1150</v>
      </c>
      <c r="Z28" s="50"/>
      <c r="AE28" s="13"/>
      <c r="BB28" s="283" t="str">
        <f>CountryCode &amp; ".T2.F8ASS2.S1313.MNAC." &amp; RefVintage</f>
        <v>HU.T2.F8ASS2.S1313.MNAC.W.2020</v>
      </c>
    </row>
    <row r="29" spans="1:54" ht="15.75">
      <c r="A29" s="290" t="s">
        <v>549</v>
      </c>
      <c r="B29" s="414" t="s">
        <v>772</v>
      </c>
      <c r="C29" s="308" t="s">
        <v>46</v>
      </c>
      <c r="D29" s="133">
        <v>-6702</v>
      </c>
      <c r="E29" s="133">
        <v>-3710</v>
      </c>
      <c r="F29" s="133">
        <v>6318</v>
      </c>
      <c r="G29" s="133">
        <v>-12305</v>
      </c>
      <c r="H29" s="133">
        <v>-12322</v>
      </c>
      <c r="I29" s="133">
        <v>-27432</v>
      </c>
      <c r="J29" s="133">
        <v>-25728</v>
      </c>
      <c r="K29" s="133">
        <v>-47515</v>
      </c>
      <c r="L29" s="133">
        <v>-2138</v>
      </c>
      <c r="M29" s="133">
        <v>-42024</v>
      </c>
      <c r="N29" s="133">
        <v>-29789.615384615376</v>
      </c>
      <c r="O29" s="133">
        <v>-28482</v>
      </c>
      <c r="P29" s="133">
        <v>54051</v>
      </c>
      <c r="Q29" s="133">
        <v>40249</v>
      </c>
      <c r="R29" s="133">
        <v>-18674</v>
      </c>
      <c r="S29" s="133">
        <v>-13247</v>
      </c>
      <c r="T29" s="133">
        <v>-10456</v>
      </c>
      <c r="U29" s="133">
        <v>31514</v>
      </c>
      <c r="V29" s="133">
        <v>18457</v>
      </c>
      <c r="W29" s="133">
        <v>8393.75</v>
      </c>
      <c r="X29" s="133">
        <v>41547</v>
      </c>
      <c r="Y29" s="120"/>
      <c r="Z29" s="50"/>
      <c r="AE29" s="13"/>
      <c r="BB29" s="283" t="str">
        <f>CountryCode &amp; ".T2.F8LIA.S1313.MNAC." &amp; RefVintage</f>
        <v>HU.T2.F8LIA.S1313.MNAC.W.2020</v>
      </c>
    </row>
    <row r="30" spans="1:54" ht="15.75">
      <c r="A30" s="159" t="s">
        <v>550</v>
      </c>
      <c r="B30" s="414" t="s">
        <v>773</v>
      </c>
      <c r="C30" s="130" t="s">
        <v>1043</v>
      </c>
      <c r="D30" s="131">
        <v>0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-54</v>
      </c>
      <c r="K30" s="131">
        <v>488</v>
      </c>
      <c r="L30" s="131">
        <v>-4440</v>
      </c>
      <c r="M30" s="131">
        <v>-4468</v>
      </c>
      <c r="N30" s="131">
        <v>-9910</v>
      </c>
      <c r="O30" s="131">
        <v>-8902</v>
      </c>
      <c r="P30" s="131">
        <v>4603</v>
      </c>
      <c r="Q30" s="131">
        <v>7346</v>
      </c>
      <c r="R30" s="131">
        <v>-16444</v>
      </c>
      <c r="S30" s="131">
        <v>-11047</v>
      </c>
      <c r="T30" s="131">
        <v>-3836</v>
      </c>
      <c r="U30" s="131">
        <v>15065</v>
      </c>
      <c r="V30" s="131">
        <v>962</v>
      </c>
      <c r="W30" s="131">
        <v>12893</v>
      </c>
      <c r="X30" s="131">
        <v>-10980</v>
      </c>
      <c r="Y30" s="122"/>
      <c r="Z30" s="50"/>
      <c r="AE30" s="13"/>
      <c r="BB30" s="283" t="str">
        <f>CountryCode &amp; ".T2.F8LIA1.S1313.MNAC." &amp; RefVintage</f>
        <v>HU.T2.F8LIA1.S1313.MNAC.W.2020</v>
      </c>
    </row>
    <row r="31" spans="1:54" ht="15.75">
      <c r="A31" s="159"/>
      <c r="B31" s="414" t="s">
        <v>774</v>
      </c>
      <c r="C31" s="130" t="s">
        <v>1044</v>
      </c>
      <c r="D31" s="131">
        <v>0</v>
      </c>
      <c r="E31" s="131">
        <v>0</v>
      </c>
      <c r="F31" s="131">
        <v>0</v>
      </c>
      <c r="G31" s="131">
        <v>0</v>
      </c>
      <c r="H31" s="131">
        <v>0</v>
      </c>
      <c r="I31" s="131">
        <v>-10219</v>
      </c>
      <c r="J31" s="131">
        <v>-38961</v>
      </c>
      <c r="K31" s="131">
        <v>-31927</v>
      </c>
      <c r="L31" s="131">
        <v>1175</v>
      </c>
      <c r="M31" s="131">
        <v>-25503</v>
      </c>
      <c r="N31" s="131">
        <v>-10923</v>
      </c>
      <c r="O31" s="131">
        <v>-616</v>
      </c>
      <c r="P31" s="131">
        <v>43202</v>
      </c>
      <c r="Q31" s="131">
        <v>33021</v>
      </c>
      <c r="R31" s="131">
        <v>-4944</v>
      </c>
      <c r="S31" s="131">
        <v>14</v>
      </c>
      <c r="T31" s="131">
        <v>-2608</v>
      </c>
      <c r="U31" s="131">
        <v>20837</v>
      </c>
      <c r="V31" s="131">
        <v>26377</v>
      </c>
      <c r="W31" s="131">
        <v>-3696</v>
      </c>
      <c r="X31" s="131">
        <v>-8177</v>
      </c>
      <c r="Y31" s="122"/>
      <c r="Z31" s="50"/>
      <c r="AE31" s="13"/>
    </row>
    <row r="32" spans="1:54" ht="15.75">
      <c r="A32" s="159"/>
      <c r="B32" s="414" t="s">
        <v>1152</v>
      </c>
      <c r="C32" s="130" t="s">
        <v>1155</v>
      </c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>
        <v>-7</v>
      </c>
      <c r="V32" s="131">
        <v>-2250</v>
      </c>
      <c r="W32" s="131">
        <v>-2706.25</v>
      </c>
      <c r="X32" s="131">
        <v>0</v>
      </c>
      <c r="Y32" s="122"/>
      <c r="Z32" s="50"/>
      <c r="AE32" s="13"/>
    </row>
    <row r="33" spans="1:54" ht="15.75">
      <c r="A33" s="159" t="s">
        <v>551</v>
      </c>
      <c r="B33" s="414" t="s">
        <v>1153</v>
      </c>
      <c r="C33" s="130" t="s">
        <v>1047</v>
      </c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>
        <v>0</v>
      </c>
      <c r="Q33" s="131">
        <v>-118</v>
      </c>
      <c r="R33" s="131">
        <v>2714</v>
      </c>
      <c r="S33" s="131">
        <v>-2214</v>
      </c>
      <c r="T33" s="131">
        <v>-4012</v>
      </c>
      <c r="U33" s="131">
        <v>-4381</v>
      </c>
      <c r="V33" s="131">
        <v>-6632</v>
      </c>
      <c r="W33" s="131">
        <v>1903</v>
      </c>
      <c r="X33" s="131">
        <v>60704</v>
      </c>
      <c r="Y33" s="122"/>
      <c r="Z33" s="50"/>
      <c r="AE33" s="13"/>
      <c r="BB33" s="283" t="str">
        <f>CountryCode &amp; ".T2.F8LIA2.S1313.MNAC." &amp; RefVintage</f>
        <v>HU.T2.F8LIA2.S1313.MNAC.W.2020</v>
      </c>
    </row>
    <row r="34" spans="1:54" ht="15.75">
      <c r="A34" s="290"/>
      <c r="B34" s="153"/>
      <c r="C34" s="162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20"/>
      <c r="Z34" s="50"/>
      <c r="AE34" s="13"/>
    </row>
    <row r="35" spans="1:54" ht="15.75">
      <c r="A35" s="290" t="s">
        <v>254</v>
      </c>
      <c r="B35" s="414" t="s">
        <v>783</v>
      </c>
      <c r="C35" s="308" t="s">
        <v>76</v>
      </c>
      <c r="D35" s="133" t="s">
        <v>1019</v>
      </c>
      <c r="E35" s="133" t="s">
        <v>1019</v>
      </c>
      <c r="F35" s="133" t="s">
        <v>1019</v>
      </c>
      <c r="G35" s="133" t="s">
        <v>1019</v>
      </c>
      <c r="H35" s="133" t="s">
        <v>1019</v>
      </c>
      <c r="I35" s="133" t="s">
        <v>1019</v>
      </c>
      <c r="J35" s="133" t="s">
        <v>1019</v>
      </c>
      <c r="K35" s="133" t="s">
        <v>1019</v>
      </c>
      <c r="L35" s="133" t="s">
        <v>1019</v>
      </c>
      <c r="M35" s="133" t="s">
        <v>1019</v>
      </c>
      <c r="N35" s="133" t="s">
        <v>1019</v>
      </c>
      <c r="O35" s="133" t="s">
        <v>1019</v>
      </c>
      <c r="P35" s="133" t="s">
        <v>1019</v>
      </c>
      <c r="Q35" s="133" t="s">
        <v>1019</v>
      </c>
      <c r="R35" s="133" t="s">
        <v>1019</v>
      </c>
      <c r="S35" s="133" t="s">
        <v>1019</v>
      </c>
      <c r="T35" s="133" t="s">
        <v>1019</v>
      </c>
      <c r="U35" s="133" t="s">
        <v>1019</v>
      </c>
      <c r="V35" s="133" t="s">
        <v>1019</v>
      </c>
      <c r="W35" s="133" t="s">
        <v>1019</v>
      </c>
      <c r="X35" s="133" t="s">
        <v>1019</v>
      </c>
      <c r="Y35" s="120"/>
      <c r="Z35" s="50"/>
      <c r="AE35" s="13"/>
      <c r="BB35" s="283" t="str">
        <f>CountryCode &amp; ".T2.B9_OWB.S1313.MNAC." &amp; RefVintage</f>
        <v>HU.T2.B9_OWB.S1313.MNAC.W.2020</v>
      </c>
    </row>
    <row r="36" spans="1:54" ht="15.75">
      <c r="A36" s="290" t="s">
        <v>255</v>
      </c>
      <c r="B36" s="414" t="s">
        <v>784</v>
      </c>
      <c r="C36" s="308" t="s">
        <v>581</v>
      </c>
      <c r="D36" s="133" t="s">
        <v>1019</v>
      </c>
      <c r="E36" s="133" t="s">
        <v>1019</v>
      </c>
      <c r="F36" s="133" t="s">
        <v>1019</v>
      </c>
      <c r="G36" s="133" t="s">
        <v>1019</v>
      </c>
      <c r="H36" s="133" t="s">
        <v>1019</v>
      </c>
      <c r="I36" s="133" t="s">
        <v>1019</v>
      </c>
      <c r="J36" s="133" t="s">
        <v>1019</v>
      </c>
      <c r="K36" s="133" t="s">
        <v>1019</v>
      </c>
      <c r="L36" s="133" t="s">
        <v>1019</v>
      </c>
      <c r="M36" s="133" t="s">
        <v>1019</v>
      </c>
      <c r="N36" s="133" t="s">
        <v>1019</v>
      </c>
      <c r="O36" s="133" t="s">
        <v>1019</v>
      </c>
      <c r="P36" s="133">
        <v>-297</v>
      </c>
      <c r="Q36" s="133">
        <v>-1560</v>
      </c>
      <c r="R36" s="133">
        <v>-3371</v>
      </c>
      <c r="S36" s="133">
        <v>4982</v>
      </c>
      <c r="T36" s="133">
        <v>112</v>
      </c>
      <c r="U36" s="133">
        <v>-11299</v>
      </c>
      <c r="V36" s="133">
        <v>2451</v>
      </c>
      <c r="W36" s="133">
        <v>-2821.607</v>
      </c>
      <c r="X36" s="133">
        <v>-2919</v>
      </c>
      <c r="Y36" s="120"/>
      <c r="Z36" s="50"/>
      <c r="AE36" s="13"/>
      <c r="BB36" s="283" t="str">
        <f>CountryCode &amp; ".T2.B9_OB.S1313.MNAC." &amp; RefVintage</f>
        <v>HU.T2.B9_OB.S1313.MNAC.W.2020</v>
      </c>
    </row>
    <row r="37" spans="1:54" ht="15.75">
      <c r="A37" s="159" t="s">
        <v>256</v>
      </c>
      <c r="B37" s="414" t="s">
        <v>785</v>
      </c>
      <c r="C37" s="130" t="s">
        <v>1156</v>
      </c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>
        <v>-297</v>
      </c>
      <c r="Q37" s="131">
        <v>118</v>
      </c>
      <c r="R37" s="131">
        <v>-197</v>
      </c>
      <c r="S37" s="131">
        <v>-633</v>
      </c>
      <c r="T37" s="131">
        <v>24</v>
      </c>
      <c r="U37" s="131">
        <v>-37</v>
      </c>
      <c r="V37" s="131">
        <v>-400</v>
      </c>
      <c r="W37" s="131">
        <v>-1042.6069999999997</v>
      </c>
      <c r="X37" s="131">
        <v>-834</v>
      </c>
      <c r="Y37" s="122"/>
      <c r="Z37" s="50"/>
      <c r="AE37" s="13"/>
      <c r="BB37" s="283" t="str">
        <f>CountryCode &amp; ".T2.B9_OB1.S1313.MNAC." &amp; RefVintage</f>
        <v>HU.T2.B9_OB1.S1313.MNAC.W.2020</v>
      </c>
    </row>
    <row r="38" spans="1:54" ht="15.75">
      <c r="A38" s="159" t="s">
        <v>257</v>
      </c>
      <c r="B38" s="414" t="s">
        <v>786</v>
      </c>
      <c r="C38" s="130" t="s">
        <v>1157</v>
      </c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>
        <v>-1678</v>
      </c>
      <c r="R38" s="131">
        <v>-3174</v>
      </c>
      <c r="S38" s="131">
        <v>5615</v>
      </c>
      <c r="T38" s="131">
        <v>88</v>
      </c>
      <c r="U38" s="131">
        <v>-11262</v>
      </c>
      <c r="V38" s="131">
        <v>2851</v>
      </c>
      <c r="W38" s="131">
        <v>-1779</v>
      </c>
      <c r="X38" s="131">
        <v>-2085</v>
      </c>
      <c r="Y38" s="122"/>
      <c r="Z38" s="50"/>
      <c r="AE38" s="13"/>
      <c r="BB38" s="283" t="str">
        <f>CountryCode &amp; ".T2.B9_OB2.S1313.MNAC." &amp; RefVintage</f>
        <v>HU.T2.B9_OB2.S1313.MNAC.W.2020</v>
      </c>
    </row>
    <row r="39" spans="1:54" ht="15.75">
      <c r="A39" s="290"/>
      <c r="B39" s="427"/>
      <c r="C39" s="162"/>
      <c r="D39" s="134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20"/>
      <c r="Z39" s="50"/>
      <c r="AE39" s="13"/>
    </row>
    <row r="40" spans="1:54" ht="15.75">
      <c r="A40" s="290" t="s">
        <v>258</v>
      </c>
      <c r="B40" s="414" t="s">
        <v>795</v>
      </c>
      <c r="C40" s="308" t="s">
        <v>48</v>
      </c>
      <c r="D40" s="133">
        <v>27095</v>
      </c>
      <c r="E40" s="133">
        <v>12705</v>
      </c>
      <c r="F40" s="133">
        <v>6153</v>
      </c>
      <c r="G40" s="133">
        <v>4501</v>
      </c>
      <c r="H40" s="133">
        <v>4120</v>
      </c>
      <c r="I40" s="133">
        <v>5852</v>
      </c>
      <c r="J40" s="133">
        <v>42618</v>
      </c>
      <c r="K40" s="133">
        <v>15944</v>
      </c>
      <c r="L40" s="133">
        <v>11798</v>
      </c>
      <c r="M40" s="133">
        <v>4201</v>
      </c>
      <c r="N40" s="133">
        <v>4617</v>
      </c>
      <c r="O40" s="133">
        <v>4686</v>
      </c>
      <c r="P40" s="133">
        <v>-3389</v>
      </c>
      <c r="Q40" s="133">
        <v>5801</v>
      </c>
      <c r="R40" s="133">
        <v>3740</v>
      </c>
      <c r="S40" s="133">
        <v>3191</v>
      </c>
      <c r="T40" s="133">
        <v>60346</v>
      </c>
      <c r="U40" s="133">
        <v>1144</v>
      </c>
      <c r="V40" s="133">
        <v>594354</v>
      </c>
      <c r="W40" s="133">
        <v>402898.25</v>
      </c>
      <c r="X40" s="133">
        <v>1535</v>
      </c>
      <c r="Y40" s="120"/>
      <c r="Z40" s="50"/>
      <c r="AE40" s="13"/>
      <c r="BB40" s="283" t="str">
        <f>CountryCode &amp; ".T2.OA.S1313.MNAC." &amp; RefVintage</f>
        <v>HU.T2.OA.S1313.MNAC.W.2020</v>
      </c>
    </row>
    <row r="41" spans="1:54" ht="15.75">
      <c r="A41" s="159" t="s">
        <v>259</v>
      </c>
      <c r="B41" s="414" t="s">
        <v>796</v>
      </c>
      <c r="C41" s="130" t="s">
        <v>1110</v>
      </c>
      <c r="D41" s="131"/>
      <c r="E41" s="131"/>
      <c r="F41" s="131"/>
      <c r="G41" s="131"/>
      <c r="H41" s="131"/>
      <c r="I41" s="131"/>
      <c r="J41" s="131">
        <v>4028</v>
      </c>
      <c r="K41" s="131">
        <v>9289</v>
      </c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22"/>
      <c r="Z41" s="50"/>
      <c r="AE41" s="13"/>
      <c r="BB41" s="283" t="str">
        <f>CountryCode &amp; ".T2.OA1.S1313.MNAC." &amp; RefVintage</f>
        <v>HU.T2.OA1.S1313.MNAC.W.2020</v>
      </c>
    </row>
    <row r="42" spans="1:54" ht="15.75">
      <c r="A42" s="159"/>
      <c r="B42" s="414" t="s">
        <v>797</v>
      </c>
      <c r="C42" s="130" t="s">
        <v>1160</v>
      </c>
      <c r="D42" s="131"/>
      <c r="E42" s="131"/>
      <c r="F42" s="131"/>
      <c r="G42" s="131"/>
      <c r="H42" s="131"/>
      <c r="I42" s="131"/>
      <c r="J42" s="131">
        <v>30266</v>
      </c>
      <c r="K42" s="131"/>
      <c r="L42" s="131">
        <v>7870</v>
      </c>
      <c r="M42" s="131"/>
      <c r="N42" s="131"/>
      <c r="O42" s="131"/>
      <c r="P42" s="131"/>
      <c r="Q42" s="131">
        <v>0</v>
      </c>
      <c r="R42" s="131"/>
      <c r="S42" s="131"/>
      <c r="T42" s="131"/>
      <c r="U42" s="131"/>
      <c r="V42" s="131"/>
      <c r="W42" s="131"/>
      <c r="X42" s="131"/>
      <c r="Y42" s="122"/>
      <c r="Z42" s="50"/>
      <c r="AE42" s="13"/>
    </row>
    <row r="43" spans="1:54" ht="15.75">
      <c r="A43" s="159"/>
      <c r="B43" s="414" t="s">
        <v>798</v>
      </c>
      <c r="C43" s="130" t="s">
        <v>1161</v>
      </c>
      <c r="D43" s="131">
        <v>27095</v>
      </c>
      <c r="E43" s="131">
        <v>12705</v>
      </c>
      <c r="F43" s="131">
        <v>6153</v>
      </c>
      <c r="G43" s="131">
        <v>4501</v>
      </c>
      <c r="H43" s="131">
        <v>4120</v>
      </c>
      <c r="I43" s="131">
        <v>5852</v>
      </c>
      <c r="J43" s="131">
        <v>8324</v>
      </c>
      <c r="K43" s="131">
        <v>6655</v>
      </c>
      <c r="L43" s="131">
        <v>3928</v>
      </c>
      <c r="M43" s="131">
        <v>4201</v>
      </c>
      <c r="N43" s="131">
        <v>4617</v>
      </c>
      <c r="O43" s="131">
        <v>4686</v>
      </c>
      <c r="P43" s="131">
        <v>3561</v>
      </c>
      <c r="Q43" s="131">
        <v>5801</v>
      </c>
      <c r="R43" s="131">
        <v>3740</v>
      </c>
      <c r="S43" s="131">
        <v>3191</v>
      </c>
      <c r="T43" s="131">
        <v>1329</v>
      </c>
      <c r="U43" s="131">
        <v>1144</v>
      </c>
      <c r="V43" s="131">
        <v>1790</v>
      </c>
      <c r="W43" s="131">
        <v>1419.25</v>
      </c>
      <c r="X43" s="131">
        <v>1535</v>
      </c>
      <c r="Y43" s="122"/>
      <c r="Z43" s="50"/>
      <c r="AE43" s="13"/>
    </row>
    <row r="44" spans="1:54" ht="15.75">
      <c r="A44" s="159" t="s">
        <v>260</v>
      </c>
      <c r="B44" s="414" t="s">
        <v>1158</v>
      </c>
      <c r="C44" s="130" t="s">
        <v>1162</v>
      </c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>
        <v>-6950</v>
      </c>
      <c r="Q44" s="131"/>
      <c r="R44" s="131"/>
      <c r="S44" s="131"/>
      <c r="T44" s="131"/>
      <c r="U44" s="131"/>
      <c r="V44" s="131"/>
      <c r="W44" s="131"/>
      <c r="X44" s="131"/>
      <c r="Y44" s="122"/>
      <c r="Z44" s="50"/>
      <c r="AE44" s="13"/>
      <c r="BB44" s="283" t="str">
        <f>CountryCode &amp; ".T2.OA2.S1313.MNAC." &amp; RefVintage</f>
        <v>HU.T2.OA2.S1313.MNAC.W.2020</v>
      </c>
    </row>
    <row r="45" spans="1:54" ht="15.75">
      <c r="A45" s="159" t="s">
        <v>261</v>
      </c>
      <c r="B45" s="414" t="s">
        <v>1159</v>
      </c>
      <c r="C45" s="130" t="s">
        <v>1163</v>
      </c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>
        <v>59017</v>
      </c>
      <c r="U45" s="131"/>
      <c r="V45" s="131">
        <v>592564</v>
      </c>
      <c r="W45" s="131">
        <v>401479</v>
      </c>
      <c r="X45" s="131"/>
      <c r="Y45" s="122"/>
      <c r="Z45" s="50"/>
      <c r="AE45" s="13"/>
      <c r="BB45" s="283" t="str">
        <f>CountryCode &amp; ".T2.OA3.S1313.MNAC." &amp; RefVintage</f>
        <v>HU.T2.OA3.S1313.MNAC.W.2020</v>
      </c>
    </row>
    <row r="46" spans="1:54" ht="16.5" thickBot="1">
      <c r="A46" s="290"/>
      <c r="B46" s="150"/>
      <c r="C46" s="162"/>
      <c r="D46" s="127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3"/>
      <c r="Z46" s="50"/>
      <c r="AE46" s="13"/>
    </row>
    <row r="47" spans="1:54" ht="17.25" thickTop="1" thickBot="1">
      <c r="A47" s="290" t="s">
        <v>262</v>
      </c>
      <c r="B47" s="414" t="s">
        <v>801</v>
      </c>
      <c r="C47" s="312" t="s">
        <v>566</v>
      </c>
      <c r="D47" s="86">
        <v>7797</v>
      </c>
      <c r="E47" s="86">
        <v>26976</v>
      </c>
      <c r="F47" s="86">
        <v>-1808</v>
      </c>
      <c r="G47" s="86">
        <v>-31033</v>
      </c>
      <c r="H47" s="86">
        <v>252</v>
      </c>
      <c r="I47" s="86">
        <v>-35845</v>
      </c>
      <c r="J47" s="86">
        <v>17530</v>
      </c>
      <c r="K47" s="86">
        <v>-149560</v>
      </c>
      <c r="L47" s="86">
        <v>-29272</v>
      </c>
      <c r="M47" s="86">
        <v>-58927</v>
      </c>
      <c r="N47" s="86">
        <v>-120609.61538461538</v>
      </c>
      <c r="O47" s="86">
        <v>-191665</v>
      </c>
      <c r="P47" s="86">
        <v>-28761</v>
      </c>
      <c r="Q47" s="86">
        <v>18346</v>
      </c>
      <c r="R47" s="86">
        <v>-103345</v>
      </c>
      <c r="S47" s="86">
        <v>-231019</v>
      </c>
      <c r="T47" s="86">
        <v>169981</v>
      </c>
      <c r="U47" s="86">
        <v>139700</v>
      </c>
      <c r="V47" s="87">
        <v>751396</v>
      </c>
      <c r="W47" s="86">
        <v>441853.82300000038</v>
      </c>
      <c r="X47" s="87">
        <v>57546.035500000056</v>
      </c>
      <c r="Y47" s="4"/>
      <c r="Z47" s="49"/>
      <c r="AE47" s="13"/>
      <c r="BB47" s="283" t="str">
        <f>CountryCode &amp; ".T2.B9.S1313.MNAC." &amp; RefVintage</f>
        <v>HU.T2.B9.S1313.MNAC.W.2020</v>
      </c>
    </row>
    <row r="48" spans="1:54" ht="16.5" thickTop="1">
      <c r="A48" s="244"/>
      <c r="B48" s="231"/>
      <c r="C48" s="313" t="s">
        <v>472</v>
      </c>
      <c r="D48" s="34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50"/>
      <c r="AA48" s="13"/>
    </row>
    <row r="49" spans="1:272" ht="9" customHeight="1">
      <c r="A49" s="244"/>
      <c r="B49" s="231"/>
      <c r="C49" s="169"/>
      <c r="D49" s="5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50"/>
      <c r="AA49" s="13"/>
    </row>
    <row r="50" spans="1:272" s="23" customFormat="1" ht="15.75">
      <c r="A50" s="244"/>
      <c r="B50" s="245"/>
      <c r="C50" s="314" t="s">
        <v>88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50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314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  <c r="IN50" s="27"/>
      <c r="IO50" s="27"/>
      <c r="IP50" s="27"/>
      <c r="IQ50" s="27"/>
      <c r="IR50" s="27"/>
      <c r="IS50" s="27"/>
      <c r="IT50" s="27"/>
      <c r="IU50" s="27"/>
      <c r="IV50" s="27"/>
      <c r="IW50" s="27"/>
      <c r="IX50" s="27"/>
      <c r="IY50" s="27"/>
      <c r="IZ50" s="27"/>
      <c r="JA50" s="27"/>
      <c r="JB50" s="27"/>
      <c r="JC50" s="27"/>
      <c r="JD50" s="27"/>
      <c r="JE50" s="27"/>
      <c r="JF50" s="27"/>
      <c r="JG50" s="27"/>
      <c r="JH50" s="27"/>
      <c r="JI50" s="27"/>
      <c r="JJ50" s="27"/>
      <c r="JK50" s="27"/>
      <c r="JL50" s="27"/>
    </row>
    <row r="51" spans="1:272" ht="15.75">
      <c r="A51" s="244"/>
      <c r="B51" s="231"/>
      <c r="C51" s="224" t="s">
        <v>91</v>
      </c>
      <c r="D51" s="199"/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337"/>
      <c r="U51" s="337"/>
      <c r="V51" s="337"/>
      <c r="W51" s="337"/>
      <c r="X51" s="337"/>
      <c r="Y51" s="26"/>
      <c r="Z51" s="50"/>
      <c r="AA51" s="13"/>
    </row>
    <row r="52" spans="1:272" ht="12" customHeight="1" thickBot="1">
      <c r="A52" s="328"/>
      <c r="B52" s="329"/>
      <c r="C52" s="166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2"/>
      <c r="AB52" s="13"/>
    </row>
    <row r="53" spans="1:272" ht="16.5" thickTop="1">
      <c r="A53" s="26"/>
      <c r="B53" s="30"/>
      <c r="AB53" s="13"/>
    </row>
    <row r="54" spans="1:272">
      <c r="A54" s="26"/>
    </row>
    <row r="55" spans="1:272" ht="30" customHeight="1">
      <c r="A55" s="26"/>
      <c r="C55" s="323" t="s">
        <v>120</v>
      </c>
      <c r="D55" s="544" t="str">
        <f>IF(COUNTA(D8:W8,D11:W16,D20:W20,D24:W24,D26:W26,D29:W29,D35:W36,D40:W40,D47:W47)/300*100=100,"OK - Table 2C is fully completed","WARNING - Table 2C is not fully completed, please fill in figure, L, M or 0")</f>
        <v>OK - Table 2C is fully completed</v>
      </c>
      <c r="E55" s="544"/>
      <c r="F55" s="544"/>
      <c r="G55" s="544"/>
      <c r="H55" s="544"/>
      <c r="I55" s="544"/>
      <c r="J55" s="544"/>
      <c r="K55" s="544"/>
      <c r="L55" s="544"/>
      <c r="M55" s="544"/>
      <c r="N55" s="544"/>
      <c r="O55" s="544"/>
      <c r="P55" s="544"/>
      <c r="Q55" s="544"/>
      <c r="R55" s="544"/>
      <c r="S55" s="544"/>
      <c r="T55" s="544"/>
      <c r="U55" s="544"/>
      <c r="V55" s="544"/>
      <c r="W55" s="544"/>
      <c r="X55" s="544"/>
      <c r="Y55" s="316"/>
      <c r="Z55" s="195"/>
    </row>
    <row r="56" spans="1:272" ht="15.75">
      <c r="A56" s="26"/>
      <c r="C56" s="196" t="s">
        <v>121</v>
      </c>
      <c r="D56" s="324"/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67"/>
      <c r="V56" s="267"/>
      <c r="W56" s="267"/>
      <c r="X56" s="267"/>
      <c r="Y56" s="197"/>
      <c r="Z56" s="198"/>
    </row>
    <row r="57" spans="1:272" ht="23.25">
      <c r="A57" s="26"/>
      <c r="C57" s="317" t="s">
        <v>552</v>
      </c>
      <c r="D57" s="318">
        <f>IF(AND(D47="0",D8="0",D11="0",D20="0",D24="0",D26="0",D29="0",D35="0",D36="0",D40="0"),0,IF(AND(D47="L",D8="L",D11="L",D20="L",D24="L",D26="L",D29="L",D35="L",D36="L",D40="L"),"NC",IF(D47="M",0,D47)-IF(D8="M",0,D8)-IF(D11="M",0,D11)-IF(D20="M",0,D20)-IF(D24="M",0,D24)-IF(D26="M",0,D26)-IF(D29="M",0,D29)-IF(D35="M",0,D35)-IF(D36="M",0,D36)-IF(D40="M",0,D40)))</f>
        <v>0</v>
      </c>
      <c r="E57" s="318">
        <f t="shared" ref="E57:S57" si="19">IF(AND(E47="0",E8="0",E11="0",E20="0",E24="0",E26="0",E29="0",E35="0",E36="0",E40="0"),0,IF(AND(E47="L",E8="L",E11="L",E20="L",E24="L",E26="L",E29="L",E35="L",E36="L",E40="L"),"NC",IF(E47="M",0,E47)-IF(E8="M",0,E8)-IF(E11="M",0,E11)-IF(E20="M",0,E20)-IF(E24="M",0,E24)-IF(E26="M",0,E26)-IF(E29="M",0,E29)-IF(E35="M",0,E35)-IF(E36="M",0,E36)-IF(E40="M",0,E40)))</f>
        <v>0</v>
      </c>
      <c r="F57" s="318">
        <f t="shared" si="19"/>
        <v>0</v>
      </c>
      <c r="G57" s="318">
        <f t="shared" si="19"/>
        <v>0</v>
      </c>
      <c r="H57" s="318">
        <f t="shared" si="19"/>
        <v>0</v>
      </c>
      <c r="I57" s="318">
        <f t="shared" si="19"/>
        <v>0</v>
      </c>
      <c r="J57" s="318">
        <f t="shared" si="19"/>
        <v>0</v>
      </c>
      <c r="K57" s="318">
        <f t="shared" si="19"/>
        <v>0</v>
      </c>
      <c r="L57" s="318">
        <f t="shared" si="19"/>
        <v>0</v>
      </c>
      <c r="M57" s="318">
        <f t="shared" si="19"/>
        <v>0</v>
      </c>
      <c r="N57" s="318">
        <f t="shared" si="19"/>
        <v>0</v>
      </c>
      <c r="O57" s="318">
        <f t="shared" si="19"/>
        <v>0</v>
      </c>
      <c r="P57" s="318">
        <f t="shared" si="19"/>
        <v>0</v>
      </c>
      <c r="Q57" s="318">
        <f t="shared" si="19"/>
        <v>0</v>
      </c>
      <c r="R57" s="318">
        <f t="shared" si="19"/>
        <v>0</v>
      </c>
      <c r="S57" s="318">
        <f t="shared" si="19"/>
        <v>0</v>
      </c>
      <c r="T57" s="318">
        <f t="shared" ref="T57:V57" si="20">IF(AND(T47="0",T8="0",T11="0",T20="0",T24="0",T26="0",T29="0",T35="0",T36="0",T40="0"),0,IF(AND(T47="L",T8="L",T11="L",T20="L",T24="L",T26="L",T29="L",T35="L",T36="L",T40="L"),"NC",IF(T47="M",0,T47)-IF(T8="M",0,T8)-IF(T11="M",0,T11)-IF(T20="M",0,T20)-IF(T24="M",0,T24)-IF(T26="M",0,T26)-IF(T29="M",0,T29)-IF(T35="M",0,T35)-IF(T36="M",0,T36)-IF(T40="M",0,T40)))</f>
        <v>0</v>
      </c>
      <c r="U57" s="318">
        <f t="shared" si="20"/>
        <v>0</v>
      </c>
      <c r="V57" s="318">
        <f t="shared" si="20"/>
        <v>0</v>
      </c>
      <c r="W57" s="318">
        <f t="shared" ref="W57:X57" si="21">IF(AND(W47="0",W8="0",W11="0",W20="0",W24="0",W26="0",W29="0",W35="0",W36="0",W40="0"),0,IF(AND(W47="L",W8="L",W11="L",W20="L",W24="L",W26="L",W29="L",W35="L",W36="L",W40="L"),"NC",IF(W47="M",0,W47)-IF(W8="M",0,W8)-IF(W11="M",0,W11)-IF(W20="M",0,W20)-IF(W24="M",0,W24)-IF(W26="M",0,W26)-IF(W29="M",0,W29)-IF(W35="M",0,W35)-IF(W36="M",0,W36)-IF(W40="M",0,W40)))</f>
        <v>5.8207660913467407E-11</v>
      </c>
      <c r="X57" s="318">
        <f t="shared" si="21"/>
        <v>0</v>
      </c>
      <c r="Y57" s="197"/>
      <c r="Z57" s="198"/>
    </row>
    <row r="58" spans="1:272" ht="15.75">
      <c r="A58" s="26"/>
      <c r="C58" s="317" t="s">
        <v>148</v>
      </c>
      <c r="D58" s="318">
        <f>IF(AND(D11="0",D12="0",D13="0",D14="0"),0,IF(AND(D11="L",D12="L",D13="L",D14="L"),"NC",IF(D11="M",0,D11)-IF(D12="M",0,D12)-IF(D13="M",0,D13)-IF(D14="M",0,D14)))</f>
        <v>0</v>
      </c>
      <c r="E58" s="318">
        <f t="shared" ref="E58:S58" si="22">IF(AND(E11="0",E12="0",E13="0",E14="0"),0,IF(AND(E11="L",E12="L",E13="L",E14="L"),"NC",IF(E11="M",0,E11)-IF(E12="M",0,E12)-IF(E13="M",0,E13)-IF(E14="M",0,E14)))</f>
        <v>0</v>
      </c>
      <c r="F58" s="318">
        <f t="shared" si="22"/>
        <v>0</v>
      </c>
      <c r="G58" s="318">
        <f t="shared" si="22"/>
        <v>0</v>
      </c>
      <c r="H58" s="318">
        <f t="shared" si="22"/>
        <v>0</v>
      </c>
      <c r="I58" s="318">
        <f t="shared" si="22"/>
        <v>0</v>
      </c>
      <c r="J58" s="318">
        <f t="shared" si="22"/>
        <v>0</v>
      </c>
      <c r="K58" s="318">
        <f t="shared" si="22"/>
        <v>0</v>
      </c>
      <c r="L58" s="318">
        <f t="shared" si="22"/>
        <v>0</v>
      </c>
      <c r="M58" s="318">
        <f t="shared" si="22"/>
        <v>0</v>
      </c>
      <c r="N58" s="318">
        <f t="shared" si="22"/>
        <v>0</v>
      </c>
      <c r="O58" s="318">
        <f t="shared" si="22"/>
        <v>0</v>
      </c>
      <c r="P58" s="318">
        <f t="shared" si="22"/>
        <v>0</v>
      </c>
      <c r="Q58" s="318">
        <f t="shared" si="22"/>
        <v>0</v>
      </c>
      <c r="R58" s="318">
        <f t="shared" si="22"/>
        <v>0</v>
      </c>
      <c r="S58" s="318">
        <f t="shared" si="22"/>
        <v>0</v>
      </c>
      <c r="T58" s="318">
        <f t="shared" ref="T58:V58" si="23">IF(AND(T11="0",T12="0",T13="0",T14="0"),0,IF(AND(T11="L",T12="L",T13="L",T14="L"),"NC",IF(T11="M",0,T11)-IF(T12="M",0,T12)-IF(T13="M",0,T13)-IF(T14="M",0,T14)))</f>
        <v>0</v>
      </c>
      <c r="U58" s="318">
        <f t="shared" si="23"/>
        <v>0</v>
      </c>
      <c r="V58" s="318">
        <f t="shared" si="23"/>
        <v>0</v>
      </c>
      <c r="W58" s="318">
        <f t="shared" ref="W58:X58" si="24">IF(AND(W11="0",W12="0",W13="0",W14="0"),0,IF(AND(W11="L",W12="L",W13="L",W14="L"),"NC",IF(W11="M",0,W11)-IF(W12="M",0,W12)-IF(W13="M",0,W13)-IF(W14="M",0,W14)))</f>
        <v>0</v>
      </c>
      <c r="X58" s="318">
        <f t="shared" si="24"/>
        <v>0</v>
      </c>
      <c r="Y58" s="197"/>
      <c r="Z58" s="198"/>
    </row>
    <row r="59" spans="1:272" ht="15.75">
      <c r="A59" s="26"/>
      <c r="C59" s="317" t="s">
        <v>149</v>
      </c>
      <c r="D59" s="318">
        <f>IF(AND(D40="0",D41="0",D44="0",D45="0",D46="0"),0,IF(AND(D40="L",D41="L",D44="L",D45="L",D46="L"),"NC",D40-SUM(D41:D46)))</f>
        <v>0</v>
      </c>
      <c r="E59" s="318">
        <f t="shared" ref="E59:S59" si="25">IF(AND(E40="0",E41="0",E44="0",E45="0",E46="0"),0,IF(AND(E40="L",E41="L",E44="L",E45="L",E46="L"),"NC",E40-SUM(E41:E46)))</f>
        <v>0</v>
      </c>
      <c r="F59" s="318">
        <f t="shared" si="25"/>
        <v>0</v>
      </c>
      <c r="G59" s="318">
        <f t="shared" si="25"/>
        <v>0</v>
      </c>
      <c r="H59" s="318">
        <f t="shared" si="25"/>
        <v>0</v>
      </c>
      <c r="I59" s="318">
        <f t="shared" si="25"/>
        <v>0</v>
      </c>
      <c r="J59" s="318">
        <f t="shared" si="25"/>
        <v>0</v>
      </c>
      <c r="K59" s="318">
        <f t="shared" si="25"/>
        <v>0</v>
      </c>
      <c r="L59" s="318">
        <f t="shared" si="25"/>
        <v>0</v>
      </c>
      <c r="M59" s="318">
        <f t="shared" si="25"/>
        <v>0</v>
      </c>
      <c r="N59" s="318">
        <f t="shared" si="25"/>
        <v>0</v>
      </c>
      <c r="O59" s="318">
        <f t="shared" si="25"/>
        <v>0</v>
      </c>
      <c r="P59" s="318">
        <f t="shared" si="25"/>
        <v>0</v>
      </c>
      <c r="Q59" s="318">
        <f t="shared" si="25"/>
        <v>0</v>
      </c>
      <c r="R59" s="318">
        <f t="shared" si="25"/>
        <v>0</v>
      </c>
      <c r="S59" s="318">
        <f t="shared" si="25"/>
        <v>0</v>
      </c>
      <c r="T59" s="318">
        <f t="shared" ref="T59:V59" si="26">IF(AND(T40="0",T41="0",T44="0",T45="0",T46="0"),0,IF(AND(T40="L",T41="L",T44="L",T45="L",T46="L"),"NC",T40-SUM(T41:T46)))</f>
        <v>0</v>
      </c>
      <c r="U59" s="318">
        <f t="shared" si="26"/>
        <v>0</v>
      </c>
      <c r="V59" s="318">
        <f t="shared" si="26"/>
        <v>0</v>
      </c>
      <c r="W59" s="318">
        <f t="shared" ref="W59:X59" si="27">IF(AND(W40="0",W41="0",W44="0",W45="0",W46="0"),0,IF(AND(W40="L",W41="L",W44="L",W45="L",W46="L"),"NC",W40-SUM(W41:W46)))</f>
        <v>0</v>
      </c>
      <c r="X59" s="318">
        <f t="shared" si="27"/>
        <v>0</v>
      </c>
      <c r="Y59" s="197"/>
      <c r="Z59" s="198"/>
    </row>
    <row r="60" spans="1:272" ht="15.75">
      <c r="A60" s="26"/>
      <c r="C60" s="319" t="s">
        <v>127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197"/>
      <c r="Z60" s="198"/>
    </row>
    <row r="61" spans="1:272" ht="15.75">
      <c r="A61" s="24"/>
      <c r="C61" s="320" t="s">
        <v>150</v>
      </c>
      <c r="D61" s="203">
        <f>IF(AND('Table 1'!E13="0",'Table 2C'!D47="0"),0,IF(AND('Table 1'!E13="L",'Table 2C'!D47="L"),"NC",IF('Table 1'!E13="M",0,'Table 1'!E13)-IF('Table 2C'!D47="M",0,'Table 2C'!D47)))</f>
        <v>0</v>
      </c>
      <c r="E61" s="203">
        <f>IF(AND('Table 1'!F13="0",'Table 2C'!E47="0"),0,IF(AND('Table 1'!F13="L",'Table 2C'!E47="L"),"NC",IF('Table 1'!F13="M",0,'Table 1'!F13)-IF('Table 2C'!E47="M",0,'Table 2C'!E47)))</f>
        <v>0</v>
      </c>
      <c r="F61" s="203">
        <f>IF(AND('Table 1'!G13="0",'Table 2C'!F47="0"),0,IF(AND('Table 1'!G13="L",'Table 2C'!F47="L"),"NC",IF('Table 1'!G13="M",0,'Table 1'!G13)-IF('Table 2C'!F47="M",0,'Table 2C'!F47)))</f>
        <v>0</v>
      </c>
      <c r="G61" s="203">
        <f>IF(AND('Table 1'!H13="0",'Table 2C'!G47="0"),0,IF(AND('Table 1'!H13="L",'Table 2C'!G47="L"),"NC",IF('Table 1'!H13="M",0,'Table 1'!H13)-IF('Table 2C'!G47="M",0,'Table 2C'!G47)))</f>
        <v>0</v>
      </c>
      <c r="H61" s="203">
        <f>IF(AND('Table 1'!I13="0",'Table 2C'!H47="0"),0,IF(AND('Table 1'!I13="L",'Table 2C'!H47="L"),"NC",IF('Table 1'!I13="M",0,'Table 1'!I13)-IF('Table 2C'!H47="M",0,'Table 2C'!H47)))</f>
        <v>0</v>
      </c>
      <c r="I61" s="203">
        <f>IF(AND('Table 1'!J13="0",'Table 2C'!I47="0"),0,IF(AND('Table 1'!J13="L",'Table 2C'!I47="L"),"NC",IF('Table 1'!J13="M",0,'Table 1'!J13)-IF('Table 2C'!I47="M",0,'Table 2C'!I47)))</f>
        <v>0</v>
      </c>
      <c r="J61" s="203">
        <f>IF(AND('Table 1'!K13="0",'Table 2C'!J47="0"),0,IF(AND('Table 1'!K13="L",'Table 2C'!J47="L"),"NC",IF('Table 1'!K13="M",0,'Table 1'!K13)-IF('Table 2C'!J47="M",0,'Table 2C'!J47)))</f>
        <v>0</v>
      </c>
      <c r="K61" s="203">
        <f>IF(AND('Table 1'!L13="0",'Table 2C'!K47="0"),0,IF(AND('Table 1'!L13="L",'Table 2C'!K47="L"),"NC",IF('Table 1'!L13="M",0,'Table 1'!L13)-IF('Table 2C'!K47="M",0,'Table 2C'!K47)))</f>
        <v>0</v>
      </c>
      <c r="L61" s="203">
        <f>IF(AND('Table 1'!M13="0",'Table 2C'!L47="0"),0,IF(AND('Table 1'!M13="L",'Table 2C'!L47="L"),"NC",IF('Table 1'!M13="M",0,'Table 1'!M13)-IF('Table 2C'!L47="M",0,'Table 2C'!L47)))</f>
        <v>0</v>
      </c>
      <c r="M61" s="203">
        <f>IF(AND('Table 1'!N13="0",'Table 2C'!M47="0"),0,IF(AND('Table 1'!N13="L",'Table 2C'!M47="L"),"NC",IF('Table 1'!N13="M",0,'Table 1'!N13)-IF('Table 2C'!M47="M",0,'Table 2C'!M47)))</f>
        <v>0</v>
      </c>
      <c r="N61" s="203">
        <f>IF(AND('Table 1'!O13="0",'Table 2C'!N47="0"),0,IF(AND('Table 1'!O13="L",'Table 2C'!N47="L"),"NC",IF('Table 1'!O13="M",0,'Table 1'!O13)-IF('Table 2C'!N47="M",0,'Table 2C'!N47)))</f>
        <v>0</v>
      </c>
      <c r="O61" s="203">
        <f>IF(AND('Table 1'!P13="0",'Table 2C'!O47="0"),0,IF(AND('Table 1'!P13="L",'Table 2C'!O47="L"),"NC",IF('Table 1'!P13="M",0,'Table 1'!P13)-IF('Table 2C'!O47="M",0,'Table 2C'!O47)))</f>
        <v>0</v>
      </c>
      <c r="P61" s="203">
        <f>IF(AND('Table 1'!Q13="0",'Table 2C'!P47="0"),0,IF(AND('Table 1'!Q13="L",'Table 2C'!P47="L"),"NC",IF('Table 1'!Q13="M",0,'Table 1'!Q13)-IF('Table 2C'!P47="M",0,'Table 2C'!P47)))</f>
        <v>0</v>
      </c>
      <c r="Q61" s="203">
        <f>IF(AND('Table 1'!R13="0",'Table 2C'!Q47="0"),0,IF(AND('Table 1'!R13="L",'Table 2C'!Q47="L"),"NC",IF('Table 1'!R13="M",0,'Table 1'!R13)-IF('Table 2C'!Q47="M",0,'Table 2C'!Q47)))</f>
        <v>0</v>
      </c>
      <c r="R61" s="203">
        <f>IF(AND('Table 1'!S13="0",'Table 2C'!R47="0"),0,IF(AND('Table 1'!S13="L",'Table 2C'!R47="L"),"NC",IF('Table 1'!S13="M",0,'Table 1'!S13)-IF('Table 2C'!R47="M",0,'Table 2C'!R47)))</f>
        <v>0</v>
      </c>
      <c r="S61" s="203">
        <f>IF(AND('Table 1'!T13="0",'Table 2C'!S47="0"),0,IF(AND('Table 1'!T13="L",'Table 2C'!S47="L"),"NC",IF('Table 1'!T13="M",0,'Table 1'!T13)-IF('Table 2C'!S47="M",0,'Table 2C'!S47)))</f>
        <v>0</v>
      </c>
      <c r="T61" s="203">
        <f>IF(AND('Table 1'!U13="0",'Table 2C'!T47="0"),0,IF(AND('Table 1'!U13="L",'Table 2C'!T47="L"),"NC",IF('Table 1'!U13="M",0,'Table 1'!U13)-IF('Table 2C'!T47="M",0,'Table 2C'!T47)))</f>
        <v>0</v>
      </c>
      <c r="U61" s="203">
        <f>IF(AND('Table 1'!V13="0",'Table 2C'!U47="0"),0,IF(AND('Table 1'!V13="L",'Table 2C'!U47="L"),"NC",IF('Table 1'!V13="M",0,'Table 1'!V13)-IF('Table 2C'!U47="M",0,'Table 2C'!U47)))</f>
        <v>0</v>
      </c>
      <c r="V61" s="203">
        <f>IF(AND('Table 1'!W13="0",'Table 2C'!V47="0"),0,IF(AND('Table 1'!W13="L",'Table 2C'!V47="L"),"NC",IF('Table 1'!W13="M",0,'Table 1'!W13)-IF('Table 2C'!V47="M",0,'Table 2C'!V47)))</f>
        <v>0</v>
      </c>
      <c r="W61" s="203">
        <f>IF(AND('Table 1'!X13="0",'Table 2C'!W47="0"),0,IF(AND('Table 1'!X13="L",'Table 2C'!W47="L"),"NC",IF('Table 1'!X13="M",0,'Table 1'!X13)-IF('Table 2C'!W47="M",0,'Table 2C'!W47)))</f>
        <v>0</v>
      </c>
      <c r="X61" s="203">
        <f>IF(AND('Table 1'!Y13="0",'Table 2C'!X47="0"),0,IF(AND('Table 1'!Y13="L",'Table 2C'!X47="L"),"NC",IF('Table 1'!Y13="M",0,'Table 1'!Y13)-IF('Table 2C'!X47="M",0,'Table 2C'!X47)))</f>
        <v>0</v>
      </c>
      <c r="Y61" s="321"/>
      <c r="Z61" s="322"/>
    </row>
    <row r="62" spans="1:272">
      <c r="A62" s="24"/>
    </row>
    <row r="63" spans="1:272">
      <c r="A63" s="24"/>
    </row>
    <row r="64" spans="1:272">
      <c r="A64" s="24"/>
    </row>
    <row r="65" spans="1:1">
      <c r="A65" s="26"/>
    </row>
    <row r="66" spans="1:1">
      <c r="A66" s="26"/>
    </row>
  </sheetData>
  <sheetProtection algorithmName="SHA-512" hashValue="KsYDfz6b+ckjiPi86q+YuYOD2wk1cozKBbyRHM91jWkksURFAyvQMWJfDG+Q9Jen6yF0RAyh5rSk/3+jWu18yA==" saltValue="y20ilJn/f1YrzdmEWM8Jvg==" spinCount="100000" sheet="1" objects="1" formatColumns="0" formatRows="0" insertRows="0" insertHyperlinks="0" deleteRows="0"/>
  <mergeCells count="2">
    <mergeCell ref="D4:X4"/>
    <mergeCell ref="D55:X55"/>
  </mergeCells>
  <phoneticPr fontId="35" type="noConversion"/>
  <conditionalFormatting sqref="D8:X8 D11:V16 D20:V20 D24:V24 D26:V26 D29:V29 D35:V36 D40:V40 D47:V47">
    <cfRule type="cellIs" dxfId="17" priority="4" operator="equal">
      <formula>""</formula>
    </cfRule>
  </conditionalFormatting>
  <conditionalFormatting sqref="D55">
    <cfRule type="expression" dxfId="16" priority="171" stopIfTrue="1">
      <formula>COUNTA(D8:V8,D11:V16,D20:V20,D24:V24,D26:V26,D29:V29,D35:V36,D40:V40,D47:V47)/285*100&lt;&gt;100</formula>
    </cfRule>
  </conditionalFormatting>
  <conditionalFormatting sqref="W11:X16 W20:X20 W24:X24 W26:X26 W29:X29 W35:X36 W40:X40 W47:X47">
    <cfRule type="cellIs" dxfId="15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X9">
      <formula1>$AB$1:$AB$4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BB64"/>
  <sheetViews>
    <sheetView showGridLines="0" defaultGridColor="0" topLeftCell="B1" colorId="22" zoomScale="85" zoomScaleNormal="85" zoomScaleSheetLayoutView="80" workbookViewId="0"/>
  </sheetViews>
  <sheetFormatPr defaultColWidth="9.77734375" defaultRowHeight="15"/>
  <cols>
    <col min="1" max="1" width="25.109375" style="20" hidden="1" customWidth="1"/>
    <col min="2" max="2" width="41.5546875" style="20" customWidth="1"/>
    <col min="3" max="3" width="67.44140625" style="25" customWidth="1"/>
    <col min="4" max="4" width="11" style="10" customWidth="1"/>
    <col min="5" max="24" width="10.77734375" style="10" customWidth="1"/>
    <col min="25" max="25" width="72.77734375" style="10" customWidth="1"/>
    <col min="26" max="26" width="5.33203125" style="10" customWidth="1"/>
    <col min="27" max="27" width="1" style="10" customWidth="1"/>
    <col min="28" max="28" width="0.5546875" style="10" customWidth="1"/>
    <col min="29" max="29" width="9.77734375" style="10"/>
    <col min="30" max="30" width="13.109375" style="10" customWidth="1"/>
    <col min="31" max="31" width="9.33203125" style="10" customWidth="1"/>
    <col min="32" max="53" width="9.77734375" style="10"/>
    <col min="54" max="54" width="9.77734375" style="283"/>
    <col min="55" max="16384" width="9.77734375" style="10"/>
  </cols>
  <sheetData>
    <row r="1" spans="1:54" ht="18">
      <c r="A1" s="284"/>
      <c r="B1" s="284"/>
      <c r="C1" s="293" t="s">
        <v>582</v>
      </c>
      <c r="D1" s="22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AB1" s="219" t="s">
        <v>454</v>
      </c>
      <c r="AC1" s="219" t="s">
        <v>1014</v>
      </c>
      <c r="AD1" s="219">
        <v>3</v>
      </c>
      <c r="AE1" s="219">
        <v>4</v>
      </c>
      <c r="AF1" s="219">
        <v>5</v>
      </c>
      <c r="AG1" s="219">
        <v>6</v>
      </c>
      <c r="AH1" s="219">
        <f>AG1+1</f>
        <v>7</v>
      </c>
      <c r="AI1" s="219">
        <f t="shared" ref="AI1:AT1" si="0">AH1+1</f>
        <v>8</v>
      </c>
      <c r="AJ1" s="219">
        <f t="shared" si="0"/>
        <v>9</v>
      </c>
      <c r="AK1" s="219">
        <f t="shared" si="0"/>
        <v>10</v>
      </c>
      <c r="AL1" s="219">
        <f t="shared" si="0"/>
        <v>11</v>
      </c>
      <c r="AM1" s="219">
        <f t="shared" si="0"/>
        <v>12</v>
      </c>
      <c r="AN1" s="219">
        <f t="shared" si="0"/>
        <v>13</v>
      </c>
      <c r="AO1" s="219">
        <f t="shared" si="0"/>
        <v>14</v>
      </c>
      <c r="AP1" s="219">
        <f t="shared" si="0"/>
        <v>15</v>
      </c>
      <c r="AQ1" s="219">
        <f t="shared" si="0"/>
        <v>16</v>
      </c>
      <c r="AR1" s="219">
        <f t="shared" si="0"/>
        <v>17</v>
      </c>
      <c r="AS1" s="219">
        <f t="shared" si="0"/>
        <v>18</v>
      </c>
      <c r="AT1" s="219">
        <f t="shared" si="0"/>
        <v>19</v>
      </c>
    </row>
    <row r="2" spans="1:54" ht="11.25" customHeight="1" thickBot="1">
      <c r="A2" s="284"/>
      <c r="B2" s="284"/>
      <c r="C2" s="156"/>
      <c r="D2" s="38"/>
      <c r="AA2" s="13"/>
      <c r="AB2" s="219" t="s">
        <v>455</v>
      </c>
      <c r="AC2" s="219">
        <f>IF($AC$1='Cover page'!$N$2,0,1)</f>
        <v>0</v>
      </c>
    </row>
    <row r="3" spans="1:54" ht="16.5" thickTop="1">
      <c r="A3" s="286"/>
      <c r="B3" s="326"/>
      <c r="C3" s="158"/>
      <c r="D3" s="39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57"/>
      <c r="Z3" s="41"/>
      <c r="AA3" s="13"/>
      <c r="AB3" s="219" t="s">
        <v>456</v>
      </c>
      <c r="AC3" s="283"/>
    </row>
    <row r="4" spans="1:54" ht="15.75">
      <c r="A4" s="234"/>
      <c r="B4" s="231"/>
      <c r="C4" s="224" t="str">
        <f>'Cover page'!E13</f>
        <v>Member State: Hungary</v>
      </c>
      <c r="D4" s="538" t="s">
        <v>2</v>
      </c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43"/>
      <c r="Z4" s="58"/>
      <c r="AB4" s="219" t="s">
        <v>457</v>
      </c>
      <c r="AC4" s="283"/>
      <c r="AE4" s="13"/>
    </row>
    <row r="5" spans="1:54" ht="15.75">
      <c r="A5" s="234" t="s">
        <v>124</v>
      </c>
      <c r="B5" s="327" t="s">
        <v>485</v>
      </c>
      <c r="C5" s="22" t="s">
        <v>1018</v>
      </c>
      <c r="D5" s="299">
        <f>'Table 1'!E5</f>
        <v>1995</v>
      </c>
      <c r="E5" s="299">
        <f>D5+1</f>
        <v>1996</v>
      </c>
      <c r="F5" s="299">
        <f t="shared" ref="F5:I5" si="1">E5+1</f>
        <v>1997</v>
      </c>
      <c r="G5" s="299">
        <f t="shared" si="1"/>
        <v>1998</v>
      </c>
      <c r="H5" s="299">
        <f t="shared" si="1"/>
        <v>1999</v>
      </c>
      <c r="I5" s="299">
        <f t="shared" si="1"/>
        <v>2000</v>
      </c>
      <c r="J5" s="299">
        <f t="shared" ref="J5" si="2">I5+1</f>
        <v>2001</v>
      </c>
      <c r="K5" s="299">
        <f t="shared" ref="K5" si="3">J5+1</f>
        <v>2002</v>
      </c>
      <c r="L5" s="299">
        <f t="shared" ref="L5" si="4">K5+1</f>
        <v>2003</v>
      </c>
      <c r="M5" s="299">
        <f t="shared" ref="M5" si="5">L5+1</f>
        <v>2004</v>
      </c>
      <c r="N5" s="299">
        <f t="shared" ref="N5" si="6">M5+1</f>
        <v>2005</v>
      </c>
      <c r="O5" s="299">
        <f t="shared" ref="O5" si="7">N5+1</f>
        <v>2006</v>
      </c>
      <c r="P5" s="299">
        <f t="shared" ref="P5" si="8">O5+1</f>
        <v>2007</v>
      </c>
      <c r="Q5" s="299">
        <f t="shared" ref="Q5" si="9">P5+1</f>
        <v>2008</v>
      </c>
      <c r="R5" s="299">
        <f t="shared" ref="R5" si="10">Q5+1</f>
        <v>2009</v>
      </c>
      <c r="S5" s="299">
        <f t="shared" ref="S5" si="11">R5+1</f>
        <v>2010</v>
      </c>
      <c r="T5" s="299">
        <f t="shared" ref="T5" si="12">S5+1</f>
        <v>2011</v>
      </c>
      <c r="U5" s="299">
        <f t="shared" ref="U5" si="13">T5+1</f>
        <v>2012</v>
      </c>
      <c r="V5" s="299">
        <f t="shared" ref="V5:X5" si="14">U5+1</f>
        <v>2013</v>
      </c>
      <c r="W5" s="299">
        <f t="shared" si="14"/>
        <v>2014</v>
      </c>
      <c r="X5" s="299">
        <f t="shared" si="14"/>
        <v>2015</v>
      </c>
      <c r="Y5" s="55"/>
      <c r="Z5" s="58"/>
      <c r="AE5" s="13"/>
    </row>
    <row r="6" spans="1:54" ht="15.75">
      <c r="A6" s="234"/>
      <c r="B6" s="288"/>
      <c r="C6" s="238" t="str">
        <f>'Cover page'!E14</f>
        <v>Date: 09/04/2020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85"/>
      <c r="W6" s="485"/>
      <c r="X6" s="485"/>
      <c r="Y6" s="55"/>
      <c r="Z6" s="58"/>
      <c r="AE6" s="13"/>
    </row>
    <row r="7" spans="1:54" ht="10.5" customHeight="1" thickBot="1">
      <c r="A7" s="234"/>
      <c r="B7" s="289"/>
      <c r="C7" s="16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513"/>
      <c r="W7" s="513"/>
      <c r="X7" s="513"/>
      <c r="Y7" s="63"/>
      <c r="Z7" s="58"/>
      <c r="AE7" s="13"/>
    </row>
    <row r="8" spans="1:54" ht="17.25" thickTop="1" thickBot="1">
      <c r="A8" s="290" t="s">
        <v>263</v>
      </c>
      <c r="B8" s="414" t="s">
        <v>727</v>
      </c>
      <c r="C8" s="306" t="s">
        <v>51</v>
      </c>
      <c r="D8" s="84">
        <v>-41263</v>
      </c>
      <c r="E8" s="85">
        <v>-69663</v>
      </c>
      <c r="F8" s="85">
        <v>-50533</v>
      </c>
      <c r="G8" s="85">
        <v>-90775</v>
      </c>
      <c r="H8" s="85">
        <v>-46567</v>
      </c>
      <c r="I8" s="85">
        <v>-81396.79999999993</v>
      </c>
      <c r="J8" s="85">
        <v>-28811.099999999977</v>
      </c>
      <c r="K8" s="85">
        <v>-100857</v>
      </c>
      <c r="L8" s="85">
        <v>-348968</v>
      </c>
      <c r="M8" s="85">
        <v>-423903</v>
      </c>
      <c r="N8" s="85">
        <v>-468807</v>
      </c>
      <c r="O8" s="85">
        <v>-130793</v>
      </c>
      <c r="P8" s="85">
        <v>27614</v>
      </c>
      <c r="Q8" s="85">
        <v>-67494</v>
      </c>
      <c r="R8" s="85">
        <v>-156697</v>
      </c>
      <c r="S8" s="85">
        <v>-95386</v>
      </c>
      <c r="T8" s="85">
        <v>-83653</v>
      </c>
      <c r="U8" s="85">
        <v>-117563</v>
      </c>
      <c r="V8" s="418">
        <v>787</v>
      </c>
      <c r="W8" s="418">
        <v>7951.5</v>
      </c>
      <c r="X8" s="418">
        <v>-25522.900000000373</v>
      </c>
      <c r="Y8" s="11"/>
      <c r="Z8" s="49"/>
      <c r="AE8" s="13"/>
      <c r="BB8" s="283" t="str">
        <f>CountryCode &amp; ".T2.WB.S1314.MNAC." &amp; RefVintage</f>
        <v>HU.T2.WB.S1314.MNAC.W.2020</v>
      </c>
    </row>
    <row r="9" spans="1:54" ht="16.5" thickTop="1">
      <c r="A9" s="290"/>
      <c r="B9" s="150"/>
      <c r="C9" s="307" t="s">
        <v>81</v>
      </c>
      <c r="D9" s="140" t="s">
        <v>454</v>
      </c>
      <c r="E9" s="140" t="s">
        <v>454</v>
      </c>
      <c r="F9" s="140" t="s">
        <v>454</v>
      </c>
      <c r="G9" s="140" t="s">
        <v>454</v>
      </c>
      <c r="H9" s="140" t="s">
        <v>454</v>
      </c>
      <c r="I9" s="140" t="s">
        <v>454</v>
      </c>
      <c r="J9" s="140" t="s">
        <v>454</v>
      </c>
      <c r="K9" s="140" t="s">
        <v>454</v>
      </c>
      <c r="L9" s="140" t="s">
        <v>454</v>
      </c>
      <c r="M9" s="140" t="s">
        <v>454</v>
      </c>
      <c r="N9" s="140" t="s">
        <v>454</v>
      </c>
      <c r="O9" s="140" t="s">
        <v>454</v>
      </c>
      <c r="P9" s="140" t="s">
        <v>454</v>
      </c>
      <c r="Q9" s="140" t="s">
        <v>456</v>
      </c>
      <c r="R9" s="140" t="s">
        <v>456</v>
      </c>
      <c r="S9" s="140" t="s">
        <v>456</v>
      </c>
      <c r="T9" s="140" t="s">
        <v>456</v>
      </c>
      <c r="U9" s="140" t="s">
        <v>456</v>
      </c>
      <c r="V9" s="140" t="s">
        <v>454</v>
      </c>
      <c r="W9" s="140" t="s">
        <v>454</v>
      </c>
      <c r="X9" s="140" t="s">
        <v>454</v>
      </c>
      <c r="Y9" s="132"/>
      <c r="Z9" s="50"/>
      <c r="AE9" s="13"/>
    </row>
    <row r="10" spans="1:54" ht="11.25" customHeight="1">
      <c r="A10" s="290"/>
      <c r="B10" s="150"/>
      <c r="C10" s="160"/>
      <c r="D10" s="506">
        <f t="shared" ref="D10:P10" si="15">IFERROR(VLOOKUP(D9,StatusTable,2,FALSE), -1)</f>
        <v>10</v>
      </c>
      <c r="E10" s="507">
        <f t="shared" si="15"/>
        <v>10</v>
      </c>
      <c r="F10" s="507">
        <f t="shared" si="15"/>
        <v>10</v>
      </c>
      <c r="G10" s="507">
        <f t="shared" si="15"/>
        <v>10</v>
      </c>
      <c r="H10" s="507">
        <f t="shared" si="15"/>
        <v>10</v>
      </c>
      <c r="I10" s="507">
        <f t="shared" si="15"/>
        <v>10</v>
      </c>
      <c r="J10" s="507">
        <f t="shared" si="15"/>
        <v>10</v>
      </c>
      <c r="K10" s="507">
        <f t="shared" si="15"/>
        <v>10</v>
      </c>
      <c r="L10" s="507">
        <f t="shared" si="15"/>
        <v>10</v>
      </c>
      <c r="M10" s="507">
        <f t="shared" si="15"/>
        <v>10</v>
      </c>
      <c r="N10" s="507">
        <f t="shared" si="15"/>
        <v>10</v>
      </c>
      <c r="O10" s="507">
        <f t="shared" si="15"/>
        <v>10</v>
      </c>
      <c r="P10" s="507">
        <f t="shared" si="15"/>
        <v>10</v>
      </c>
      <c r="Q10" s="507">
        <f t="shared" ref="Q10" si="16">IFERROR(VLOOKUP(Q9,StatusTable,2,FALSE), -1)</f>
        <v>12</v>
      </c>
      <c r="R10" s="507">
        <f t="shared" ref="R10" si="17">IFERROR(VLOOKUP(R9,StatusTable,2,FALSE), -1)</f>
        <v>12</v>
      </c>
      <c r="S10" s="507">
        <f t="shared" ref="S10:X10" si="18">IFERROR(VLOOKUP(S9,StatusTable,2,FALSE), -1)</f>
        <v>12</v>
      </c>
      <c r="T10" s="507">
        <f t="shared" si="18"/>
        <v>12</v>
      </c>
      <c r="U10" s="507">
        <f t="shared" si="18"/>
        <v>12</v>
      </c>
      <c r="V10" s="507">
        <f t="shared" si="18"/>
        <v>10</v>
      </c>
      <c r="W10" s="507">
        <f t="shared" si="18"/>
        <v>10</v>
      </c>
      <c r="X10" s="507">
        <f t="shared" si="18"/>
        <v>10</v>
      </c>
      <c r="Y10" s="118"/>
      <c r="Z10" s="50"/>
      <c r="AE10" s="13"/>
      <c r="BB10" s="283" t="str">
        <f>CountryCode &amp; ".T2.WB_STATUS.S1314.MNAC." &amp; RefVintage</f>
        <v>HU.T2.WB_STATUS.S1314.MNAC.W.2020</v>
      </c>
    </row>
    <row r="11" spans="1:54" ht="15.75">
      <c r="A11" s="290" t="s">
        <v>264</v>
      </c>
      <c r="B11" s="414" t="s">
        <v>728</v>
      </c>
      <c r="C11" s="308" t="s">
        <v>92</v>
      </c>
      <c r="D11" s="119">
        <v>-624</v>
      </c>
      <c r="E11" s="119">
        <v>162</v>
      </c>
      <c r="F11" s="119">
        <v>-10259</v>
      </c>
      <c r="G11" s="119">
        <v>1726</v>
      </c>
      <c r="H11" s="119">
        <v>-63750</v>
      </c>
      <c r="I11" s="119">
        <v>-9639.2029999999995</v>
      </c>
      <c r="J11" s="119">
        <v>-308.90000000000009</v>
      </c>
      <c r="K11" s="119">
        <v>479</v>
      </c>
      <c r="L11" s="119">
        <v>758</v>
      </c>
      <c r="M11" s="119">
        <v>716</v>
      </c>
      <c r="N11" s="119">
        <v>1138</v>
      </c>
      <c r="O11" s="119">
        <v>977</v>
      </c>
      <c r="P11" s="119">
        <v>887</v>
      </c>
      <c r="Q11" s="119">
        <v>500</v>
      </c>
      <c r="R11" s="119">
        <v>35</v>
      </c>
      <c r="S11" s="119">
        <v>-655</v>
      </c>
      <c r="T11" s="119">
        <v>-6</v>
      </c>
      <c r="U11" s="119">
        <v>20</v>
      </c>
      <c r="V11" s="119">
        <v>-302</v>
      </c>
      <c r="W11" s="119">
        <v>-61</v>
      </c>
      <c r="X11" s="119">
        <v>-62.813000000000002</v>
      </c>
      <c r="Y11" s="120"/>
      <c r="Z11" s="50"/>
      <c r="AE11" s="13"/>
      <c r="BB11" s="283" t="str">
        <f>CountryCode &amp; ".T2.FT.S1314.MNAC." &amp; RefVintage</f>
        <v>HU.T2.FT.S1314.MNAC.W.2020</v>
      </c>
    </row>
    <row r="12" spans="1:54" ht="15.75">
      <c r="A12" s="290" t="s">
        <v>265</v>
      </c>
      <c r="B12" s="414" t="s">
        <v>729</v>
      </c>
      <c r="C12" s="309" t="s">
        <v>52</v>
      </c>
      <c r="D12" s="119">
        <v>265</v>
      </c>
      <c r="E12" s="119">
        <v>568</v>
      </c>
      <c r="F12" s="119">
        <v>-1131</v>
      </c>
      <c r="G12" s="119">
        <v>4437</v>
      </c>
      <c r="H12" s="119">
        <v>2942</v>
      </c>
      <c r="I12" s="119">
        <v>-9639.2029999999995</v>
      </c>
      <c r="J12" s="119">
        <v>-308.90000000000009</v>
      </c>
      <c r="K12" s="119">
        <v>479</v>
      </c>
      <c r="L12" s="119">
        <v>779</v>
      </c>
      <c r="M12" s="119">
        <v>740</v>
      </c>
      <c r="N12" s="119">
        <v>1145</v>
      </c>
      <c r="O12" s="119">
        <v>1148</v>
      </c>
      <c r="P12" s="119">
        <v>889</v>
      </c>
      <c r="Q12" s="119">
        <v>502</v>
      </c>
      <c r="R12" s="119">
        <v>40</v>
      </c>
      <c r="S12" s="119">
        <v>-653</v>
      </c>
      <c r="T12" s="119">
        <v>-5</v>
      </c>
      <c r="U12" s="119">
        <v>20</v>
      </c>
      <c r="V12" s="119">
        <v>-302</v>
      </c>
      <c r="W12" s="119">
        <v>-61</v>
      </c>
      <c r="X12" s="119">
        <v>-62.813000000000002</v>
      </c>
      <c r="Y12" s="120"/>
      <c r="Z12" s="50"/>
      <c r="AE12" s="13"/>
      <c r="BB12" s="283" t="str">
        <f>CountryCode &amp; ".T2.F4.S1314.MNAC." &amp; RefVintage</f>
        <v>HU.T2.F4.S1314.MNAC.W.2020</v>
      </c>
    </row>
    <row r="13" spans="1:54" ht="15.75">
      <c r="A13" s="290" t="s">
        <v>266</v>
      </c>
      <c r="B13" s="414" t="s">
        <v>730</v>
      </c>
      <c r="C13" s="310" t="s">
        <v>53</v>
      </c>
      <c r="D13" s="119">
        <v>410</v>
      </c>
      <c r="E13" s="119">
        <v>754</v>
      </c>
      <c r="F13" s="119">
        <v>-8200</v>
      </c>
      <c r="G13" s="119">
        <v>-2711</v>
      </c>
      <c r="H13" s="119">
        <v>-66692</v>
      </c>
      <c r="I13" s="119">
        <v>0</v>
      </c>
      <c r="J13" s="119">
        <v>0</v>
      </c>
      <c r="K13" s="119" t="s">
        <v>1019</v>
      </c>
      <c r="L13" s="119">
        <v>-21</v>
      </c>
      <c r="M13" s="119">
        <v>-24</v>
      </c>
      <c r="N13" s="119">
        <v>-7</v>
      </c>
      <c r="O13" s="119">
        <v>-171</v>
      </c>
      <c r="P13" s="119">
        <v>-2</v>
      </c>
      <c r="Q13" s="119">
        <v>-2</v>
      </c>
      <c r="R13" s="119">
        <v>-5</v>
      </c>
      <c r="S13" s="119">
        <v>-2</v>
      </c>
      <c r="T13" s="119">
        <v>-1</v>
      </c>
      <c r="U13" s="119">
        <v>0</v>
      </c>
      <c r="V13" s="119">
        <v>0</v>
      </c>
      <c r="W13" s="119">
        <v>0</v>
      </c>
      <c r="X13" s="119">
        <v>0</v>
      </c>
      <c r="Y13" s="120"/>
      <c r="Z13" s="50"/>
      <c r="AE13" s="13"/>
      <c r="BB13" s="283" t="str">
        <f>CountryCode &amp; ".T2.F5.S1314.MNAC." &amp; RefVintage</f>
        <v>HU.T2.F5.S1314.MNAC.W.2020</v>
      </c>
    </row>
    <row r="14" spans="1:54" ht="15.75">
      <c r="A14" s="290" t="s">
        <v>267</v>
      </c>
      <c r="B14" s="414" t="s">
        <v>731</v>
      </c>
      <c r="C14" s="310" t="s">
        <v>34</v>
      </c>
      <c r="D14" s="119">
        <v>-1299</v>
      </c>
      <c r="E14" s="119">
        <v>-1160</v>
      </c>
      <c r="F14" s="119">
        <v>-928</v>
      </c>
      <c r="G14" s="119">
        <v>0</v>
      </c>
      <c r="H14" s="119">
        <v>0</v>
      </c>
      <c r="I14" s="119">
        <v>0</v>
      </c>
      <c r="J14" s="119">
        <v>0</v>
      </c>
      <c r="K14" s="119" t="s">
        <v>1019</v>
      </c>
      <c r="L14" s="119" t="s">
        <v>1019</v>
      </c>
      <c r="M14" s="119" t="s">
        <v>1019</v>
      </c>
      <c r="N14" s="119" t="s">
        <v>1019</v>
      </c>
      <c r="O14" s="119" t="s">
        <v>1019</v>
      </c>
      <c r="P14" s="119" t="s">
        <v>1019</v>
      </c>
      <c r="Q14" s="119" t="s">
        <v>1019</v>
      </c>
      <c r="R14" s="119" t="s">
        <v>1019</v>
      </c>
      <c r="S14" s="119" t="s">
        <v>1019</v>
      </c>
      <c r="T14" s="119" t="s">
        <v>1019</v>
      </c>
      <c r="U14" s="119" t="s">
        <v>1019</v>
      </c>
      <c r="V14" s="119" t="s">
        <v>1019</v>
      </c>
      <c r="W14" s="119" t="s">
        <v>1019</v>
      </c>
      <c r="X14" s="119" t="s">
        <v>1019</v>
      </c>
      <c r="Y14" s="120"/>
      <c r="Z14" s="50"/>
      <c r="AE14" s="13"/>
      <c r="BB14" s="283" t="str">
        <f>CountryCode &amp; ".T2.OFT.S1314.MNAC." &amp; RefVintage</f>
        <v>HU.T2.OFT.S1314.MNAC.W.2020</v>
      </c>
    </row>
    <row r="15" spans="1:54" ht="16.5" thickBot="1">
      <c r="A15" s="290" t="s">
        <v>268</v>
      </c>
      <c r="B15" s="414" t="s">
        <v>732</v>
      </c>
      <c r="C15" s="311" t="s">
        <v>513</v>
      </c>
      <c r="D15" s="119" t="s">
        <v>1147</v>
      </c>
      <c r="E15" s="119" t="s">
        <v>1147</v>
      </c>
      <c r="F15" s="119" t="s">
        <v>1147</v>
      </c>
      <c r="G15" s="119" t="s">
        <v>1147</v>
      </c>
      <c r="H15" s="119" t="s">
        <v>1147</v>
      </c>
      <c r="I15" s="119" t="s">
        <v>1147</v>
      </c>
      <c r="J15" s="119" t="s">
        <v>1147</v>
      </c>
      <c r="K15" s="119" t="s">
        <v>1147</v>
      </c>
      <c r="L15" s="119" t="s">
        <v>1147</v>
      </c>
      <c r="M15" s="119" t="s">
        <v>1147</v>
      </c>
      <c r="N15" s="119" t="s">
        <v>1147</v>
      </c>
      <c r="O15" s="119" t="s">
        <v>1019</v>
      </c>
      <c r="P15" s="119" t="s">
        <v>1019</v>
      </c>
      <c r="Q15" s="119" t="s">
        <v>1019</v>
      </c>
      <c r="R15" s="119" t="s">
        <v>1019</v>
      </c>
      <c r="S15" s="119" t="s">
        <v>1019</v>
      </c>
      <c r="T15" s="119" t="s">
        <v>1019</v>
      </c>
      <c r="U15" s="119" t="s">
        <v>1019</v>
      </c>
      <c r="V15" s="119" t="s">
        <v>1019</v>
      </c>
      <c r="W15" s="119" t="s">
        <v>1019</v>
      </c>
      <c r="X15" s="119" t="s">
        <v>1019</v>
      </c>
      <c r="Y15" s="120"/>
      <c r="Z15" s="50"/>
      <c r="AE15" s="13"/>
      <c r="BB15" s="283" t="str">
        <f>CountryCode &amp; ".T2.OFTDL.S1314.MNAC." &amp; RefVintage</f>
        <v>HU.T2.OFTDL.S1314.MNAC.W.2020</v>
      </c>
    </row>
    <row r="16" spans="1:54" ht="16.5" thickBot="1">
      <c r="A16" s="291" t="s">
        <v>488</v>
      </c>
      <c r="B16" s="414" t="s">
        <v>733</v>
      </c>
      <c r="C16" s="217" t="s">
        <v>514</v>
      </c>
      <c r="D16" s="119" t="s">
        <v>1019</v>
      </c>
      <c r="E16" s="119" t="s">
        <v>1019</v>
      </c>
      <c r="F16" s="119" t="s">
        <v>1019</v>
      </c>
      <c r="G16" s="119" t="s">
        <v>1019</v>
      </c>
      <c r="H16" s="119" t="s">
        <v>1019</v>
      </c>
      <c r="I16" s="119" t="s">
        <v>1019</v>
      </c>
      <c r="J16" s="119" t="s">
        <v>1019</v>
      </c>
      <c r="K16" s="119" t="s">
        <v>1019</v>
      </c>
      <c r="L16" s="119" t="s">
        <v>1019</v>
      </c>
      <c r="M16" s="119" t="s">
        <v>1019</v>
      </c>
      <c r="N16" s="119" t="s">
        <v>1019</v>
      </c>
      <c r="O16" s="119" t="s">
        <v>1019</v>
      </c>
      <c r="P16" s="119" t="s">
        <v>1019</v>
      </c>
      <c r="Q16" s="119" t="s">
        <v>1019</v>
      </c>
      <c r="R16" s="119" t="s">
        <v>1019</v>
      </c>
      <c r="S16" s="119" t="s">
        <v>1019</v>
      </c>
      <c r="T16" s="119" t="s">
        <v>1019</v>
      </c>
      <c r="U16" s="119" t="s">
        <v>1019</v>
      </c>
      <c r="V16" s="119" t="s">
        <v>1019</v>
      </c>
      <c r="W16" s="119" t="s">
        <v>1019</v>
      </c>
      <c r="X16" s="119" t="s">
        <v>1019</v>
      </c>
      <c r="Y16" s="120"/>
      <c r="Z16" s="50"/>
      <c r="AE16" s="13"/>
      <c r="BB16" s="283" t="str">
        <f>CountryCode &amp; ".T2.F71K.S1314.MNAC." &amp; RefVintage</f>
        <v>HU.T2.F71K.S1314.MNAC.W.2020</v>
      </c>
    </row>
    <row r="17" spans="1:54" ht="15.75">
      <c r="A17" s="159" t="s">
        <v>269</v>
      </c>
      <c r="B17" s="414" t="s">
        <v>734</v>
      </c>
      <c r="C17" s="130" t="s">
        <v>515</v>
      </c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22"/>
      <c r="Z17" s="50"/>
      <c r="AE17" s="13"/>
      <c r="BB17" s="283" t="str">
        <f>CountryCode &amp; ".T2.OFT1.S1314.MNAC." &amp; RefVintage</f>
        <v>HU.T2.OFT1.S1314.MNAC.W.2020</v>
      </c>
    </row>
    <row r="18" spans="1:54" ht="15.75">
      <c r="A18" s="159" t="s">
        <v>270</v>
      </c>
      <c r="B18" s="414" t="s">
        <v>735</v>
      </c>
      <c r="C18" s="130" t="s">
        <v>516</v>
      </c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22"/>
      <c r="Z18" s="50"/>
      <c r="AE18" s="13"/>
      <c r="BB18" s="283" t="str">
        <f>CountryCode &amp; ".T2.OFT2.S1314.MNAC." &amp; RefVintage</f>
        <v>HU.T2.OFT2.S1314.MNAC.W.2020</v>
      </c>
    </row>
    <row r="19" spans="1:54" ht="15.75">
      <c r="A19" s="290"/>
      <c r="B19" s="150"/>
      <c r="C19" s="161"/>
      <c r="D19" s="134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20"/>
      <c r="Z19" s="50"/>
      <c r="AE19" s="13"/>
    </row>
    <row r="20" spans="1:54" ht="15.75">
      <c r="A20" s="290" t="s">
        <v>271</v>
      </c>
      <c r="B20" s="414" t="s">
        <v>748</v>
      </c>
      <c r="C20" s="308" t="s">
        <v>119</v>
      </c>
      <c r="D20" s="133" t="s">
        <v>1019</v>
      </c>
      <c r="E20" s="133" t="s">
        <v>1019</v>
      </c>
      <c r="F20" s="133" t="s">
        <v>1019</v>
      </c>
      <c r="G20" s="133" t="s">
        <v>1019</v>
      </c>
      <c r="H20" s="133" t="s">
        <v>1019</v>
      </c>
      <c r="I20" s="133" t="s">
        <v>1019</v>
      </c>
      <c r="J20" s="133" t="s">
        <v>1019</v>
      </c>
      <c r="K20" s="133" t="s">
        <v>1019</v>
      </c>
      <c r="L20" s="133" t="s">
        <v>1019</v>
      </c>
      <c r="M20" s="133" t="s">
        <v>1019</v>
      </c>
      <c r="N20" s="133" t="s">
        <v>1019</v>
      </c>
      <c r="O20" s="133" t="s">
        <v>1019</v>
      </c>
      <c r="P20" s="133" t="s">
        <v>1019</v>
      </c>
      <c r="Q20" s="133" t="s">
        <v>1019</v>
      </c>
      <c r="R20" s="133" t="s">
        <v>1019</v>
      </c>
      <c r="S20" s="133" t="s">
        <v>1019</v>
      </c>
      <c r="T20" s="133" t="s">
        <v>1019</v>
      </c>
      <c r="U20" s="133" t="s">
        <v>1019</v>
      </c>
      <c r="V20" s="133" t="s">
        <v>1019</v>
      </c>
      <c r="W20" s="133" t="s">
        <v>1019</v>
      </c>
      <c r="X20" s="133" t="s">
        <v>1019</v>
      </c>
      <c r="Y20" s="120"/>
      <c r="Z20" s="50"/>
      <c r="AE20" s="13"/>
      <c r="BB20" s="283" t="str">
        <f>CountryCode &amp; ".T2.ONFT.S1314.MNAC." &amp; RefVintage</f>
        <v>HU.T2.ONFT.S1314.MNAC.W.2020</v>
      </c>
    </row>
    <row r="21" spans="1:54" ht="15.75">
      <c r="A21" s="159" t="s">
        <v>272</v>
      </c>
      <c r="B21" s="414" t="s">
        <v>749</v>
      </c>
      <c r="C21" s="130" t="s">
        <v>69</v>
      </c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22"/>
      <c r="Z21" s="50"/>
      <c r="AE21" s="13"/>
      <c r="BB21" s="283" t="str">
        <f>CountryCode &amp; ".T2.ONFT1.S1314.MNAC." &amp; RefVintage</f>
        <v>HU.T2.ONFT1.S1314.MNAC.W.2020</v>
      </c>
    </row>
    <row r="22" spans="1:54" ht="15.75">
      <c r="A22" s="159" t="s">
        <v>273</v>
      </c>
      <c r="B22" s="414" t="s">
        <v>750</v>
      </c>
      <c r="C22" s="130" t="s">
        <v>70</v>
      </c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22"/>
      <c r="Z22" s="50"/>
      <c r="AE22" s="13"/>
      <c r="BB22" s="283" t="str">
        <f>CountryCode &amp; ".T2.ONFT2.S1314.MNAC." &amp; RefVintage</f>
        <v>HU.T2.ONFT2.S1314.MNAC.W.2020</v>
      </c>
    </row>
    <row r="23" spans="1:54" ht="15.75">
      <c r="A23" s="290"/>
      <c r="B23" s="153"/>
      <c r="C23" s="162"/>
      <c r="D23" s="134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20"/>
      <c r="Z23" s="50"/>
      <c r="AE23" s="13"/>
    </row>
    <row r="24" spans="1:54" ht="15.75">
      <c r="A24" s="290" t="s">
        <v>274</v>
      </c>
      <c r="B24" s="414" t="s">
        <v>755</v>
      </c>
      <c r="C24" s="215" t="s">
        <v>471</v>
      </c>
      <c r="D24" s="133">
        <v>268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20"/>
      <c r="Z24" s="50"/>
      <c r="AE24" s="13"/>
      <c r="BB24" s="283" t="str">
        <f>CountryCode &amp; ".T2.D41DIF.S1314.MNAC." &amp; RefVintage</f>
        <v>HU.T2.D41DIF.S1314.MNAC.W.2020</v>
      </c>
    </row>
    <row r="25" spans="1:54" ht="15.75">
      <c r="A25" s="290"/>
      <c r="B25" s="153"/>
      <c r="C25" s="162"/>
      <c r="D25" s="134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20"/>
      <c r="Z25" s="50"/>
      <c r="AE25" s="13"/>
    </row>
    <row r="26" spans="1:54" ht="15.75">
      <c r="A26" s="290" t="s">
        <v>553</v>
      </c>
      <c r="B26" s="414" t="s">
        <v>760</v>
      </c>
      <c r="C26" s="308" t="s">
        <v>47</v>
      </c>
      <c r="D26" s="133">
        <v>6503</v>
      </c>
      <c r="E26" s="133">
        <v>11354</v>
      </c>
      <c r="F26" s="133">
        <v>17989</v>
      </c>
      <c r="G26" s="133">
        <v>15246</v>
      </c>
      <c r="H26" s="133">
        <v>7361</v>
      </c>
      <c r="I26" s="133">
        <v>28140</v>
      </c>
      <c r="J26" s="133">
        <v>21217</v>
      </c>
      <c r="K26" s="133">
        <v>24572</v>
      </c>
      <c r="L26" s="133">
        <v>13979</v>
      </c>
      <c r="M26" s="133">
        <v>16801</v>
      </c>
      <c r="N26" s="133">
        <v>16731</v>
      </c>
      <c r="O26" s="133">
        <v>43347</v>
      </c>
      <c r="P26" s="133">
        <v>19078</v>
      </c>
      <c r="Q26" s="133">
        <v>-13607</v>
      </c>
      <c r="R26" s="133">
        <v>-18892</v>
      </c>
      <c r="S26" s="133">
        <v>964</v>
      </c>
      <c r="T26" s="133">
        <v>24314</v>
      </c>
      <c r="U26" s="133">
        <v>30028</v>
      </c>
      <c r="V26" s="133">
        <v>23568</v>
      </c>
      <c r="W26" s="133">
        <v>22368</v>
      </c>
      <c r="X26" s="133">
        <v>27745.148999999928</v>
      </c>
      <c r="Y26" s="120"/>
      <c r="Z26" s="50"/>
      <c r="AE26" s="13"/>
      <c r="BB26" s="283" t="str">
        <f>CountryCode &amp; ".T2.F8ASS.S1314.MNAC." &amp; RefVintage</f>
        <v>HU.T2.F8ASS.S1314.MNAC.W.2020</v>
      </c>
    </row>
    <row r="27" spans="1:54" ht="15.75">
      <c r="A27" s="159" t="s">
        <v>554</v>
      </c>
      <c r="B27" s="414" t="s">
        <v>761</v>
      </c>
      <c r="C27" s="130" t="s">
        <v>1167</v>
      </c>
      <c r="D27" s="131">
        <v>0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-1</v>
      </c>
      <c r="K27" s="131">
        <v>-13</v>
      </c>
      <c r="L27" s="131">
        <v>-1</v>
      </c>
      <c r="M27" s="131">
        <v>1</v>
      </c>
      <c r="N27" s="131">
        <v>-4</v>
      </c>
      <c r="O27" s="131">
        <v>-2</v>
      </c>
      <c r="P27" s="131">
        <v>7</v>
      </c>
      <c r="Q27" s="131">
        <v>-8</v>
      </c>
      <c r="R27" s="131">
        <v>-9</v>
      </c>
      <c r="S27" s="131">
        <v>5</v>
      </c>
      <c r="T27" s="131">
        <v>-36</v>
      </c>
      <c r="U27" s="131">
        <v>-17</v>
      </c>
      <c r="V27" s="131">
        <v>20</v>
      </c>
      <c r="W27" s="131">
        <v>-24</v>
      </c>
      <c r="X27" s="131">
        <v>50</v>
      </c>
      <c r="Y27" s="122"/>
      <c r="Z27" s="50"/>
      <c r="AE27" s="13"/>
      <c r="BB27" s="283" t="str">
        <f>CountryCode &amp; ".T2.F8ASS1.S1314.MNAC." &amp; RefVintage</f>
        <v>HU.T2.F8ASS1.S1314.MNAC.W.2020</v>
      </c>
    </row>
    <row r="28" spans="1:54" ht="15.75">
      <c r="A28" s="159"/>
      <c r="B28" s="414" t="s">
        <v>762</v>
      </c>
      <c r="C28" s="130" t="s">
        <v>1168</v>
      </c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>
        <v>8262</v>
      </c>
      <c r="Q28" s="131">
        <v>-458</v>
      </c>
      <c r="R28" s="131">
        <v>2920</v>
      </c>
      <c r="S28" s="131">
        <v>-911</v>
      </c>
      <c r="T28" s="131">
        <v>6371</v>
      </c>
      <c r="U28" s="131">
        <v>-1595</v>
      </c>
      <c r="V28" s="131">
        <v>-579</v>
      </c>
      <c r="W28" s="131">
        <v>1691</v>
      </c>
      <c r="X28" s="131">
        <v>1803</v>
      </c>
      <c r="Y28" s="122"/>
      <c r="Z28" s="50"/>
      <c r="AE28" s="13"/>
    </row>
    <row r="29" spans="1:54" ht="15.75">
      <c r="A29" s="159"/>
      <c r="B29" s="414" t="s">
        <v>1165</v>
      </c>
      <c r="C29" s="130" t="s">
        <v>1169</v>
      </c>
      <c r="D29" s="131">
        <v>6503</v>
      </c>
      <c r="E29" s="131">
        <v>11354</v>
      </c>
      <c r="F29" s="131">
        <v>17989</v>
      </c>
      <c r="G29" s="131">
        <v>15246</v>
      </c>
      <c r="H29" s="131">
        <v>7361</v>
      </c>
      <c r="I29" s="131">
        <v>28140</v>
      </c>
      <c r="J29" s="131">
        <v>21218</v>
      </c>
      <c r="K29" s="131">
        <v>24585</v>
      </c>
      <c r="L29" s="131">
        <v>13980</v>
      </c>
      <c r="M29" s="131">
        <v>16800</v>
      </c>
      <c r="N29" s="131">
        <v>16735</v>
      </c>
      <c r="O29" s="131">
        <v>43349</v>
      </c>
      <c r="P29" s="131">
        <v>10809</v>
      </c>
      <c r="Q29" s="131">
        <v>-7602</v>
      </c>
      <c r="R29" s="131">
        <v>-18857</v>
      </c>
      <c r="S29" s="131">
        <v>-62698</v>
      </c>
      <c r="T29" s="131">
        <v>19700</v>
      </c>
      <c r="U29" s="131">
        <v>34005</v>
      </c>
      <c r="V29" s="131">
        <v>7555</v>
      </c>
      <c r="W29" s="131">
        <v>13567</v>
      </c>
      <c r="X29" s="131">
        <v>26853</v>
      </c>
      <c r="Y29" s="122"/>
      <c r="Z29" s="50"/>
      <c r="AE29" s="13"/>
    </row>
    <row r="30" spans="1:54" ht="15.75">
      <c r="A30" s="159" t="s">
        <v>555</v>
      </c>
      <c r="B30" s="414" t="s">
        <v>1166</v>
      </c>
      <c r="C30" s="130" t="s">
        <v>1042</v>
      </c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>
        <v>-5539</v>
      </c>
      <c r="R30" s="131">
        <v>-2946</v>
      </c>
      <c r="S30" s="131">
        <v>64568</v>
      </c>
      <c r="T30" s="131">
        <v>-1721</v>
      </c>
      <c r="U30" s="131">
        <v>-2365</v>
      </c>
      <c r="V30" s="131">
        <v>16572</v>
      </c>
      <c r="W30" s="131">
        <v>7134</v>
      </c>
      <c r="X30" s="131">
        <v>-960.85100000007151</v>
      </c>
      <c r="Y30" s="529" t="s">
        <v>1150</v>
      </c>
      <c r="Z30" s="50"/>
      <c r="AE30" s="13"/>
      <c r="BB30" s="283" t="str">
        <f>CountryCode &amp; ".T2.F8ASS2.S1314.MNAC." &amp; RefVintage</f>
        <v>HU.T2.F8ASS2.S1314.MNAC.W.2020</v>
      </c>
    </row>
    <row r="31" spans="1:54" ht="15.75">
      <c r="A31" s="290" t="s">
        <v>556</v>
      </c>
      <c r="B31" s="414" t="s">
        <v>769</v>
      </c>
      <c r="C31" s="308" t="s">
        <v>46</v>
      </c>
      <c r="D31" s="133">
        <v>-6354</v>
      </c>
      <c r="E31" s="133">
        <v>-4991</v>
      </c>
      <c r="F31" s="133">
        <v>-2093</v>
      </c>
      <c r="G31" s="133">
        <v>-16089</v>
      </c>
      <c r="H31" s="133">
        <v>-6600</v>
      </c>
      <c r="I31" s="133">
        <v>5454</v>
      </c>
      <c r="J31" s="133">
        <v>-1721</v>
      </c>
      <c r="K31" s="133">
        <v>-4357</v>
      </c>
      <c r="L31" s="133">
        <v>-7013</v>
      </c>
      <c r="M31" s="133">
        <v>-4254</v>
      </c>
      <c r="N31" s="133">
        <v>-10288</v>
      </c>
      <c r="O31" s="133">
        <v>-5384</v>
      </c>
      <c r="P31" s="133">
        <v>-1199</v>
      </c>
      <c r="Q31" s="133">
        <v>105</v>
      </c>
      <c r="R31" s="133">
        <v>-1725</v>
      </c>
      <c r="S31" s="133">
        <v>12985</v>
      </c>
      <c r="T31" s="133">
        <v>-11340</v>
      </c>
      <c r="U31" s="133">
        <v>-224</v>
      </c>
      <c r="V31" s="133">
        <v>-4826</v>
      </c>
      <c r="W31" s="133">
        <v>11767</v>
      </c>
      <c r="X31" s="133">
        <v>738</v>
      </c>
      <c r="Y31" s="120"/>
      <c r="Z31" s="50"/>
      <c r="AE31" s="13"/>
      <c r="BB31" s="283" t="str">
        <f>CountryCode &amp; ".T2.F8LIA.S1314.MNAC." &amp; RefVintage</f>
        <v>HU.T2.F8LIA.S1314.MNAC.W.2020</v>
      </c>
    </row>
    <row r="32" spans="1:54" ht="15.75">
      <c r="A32" s="159" t="s">
        <v>557</v>
      </c>
      <c r="B32" s="414" t="s">
        <v>770</v>
      </c>
      <c r="C32" s="130" t="s">
        <v>1170</v>
      </c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>
        <v>-70</v>
      </c>
      <c r="R32" s="131">
        <v>-715</v>
      </c>
      <c r="S32" s="131">
        <v>12631</v>
      </c>
      <c r="T32" s="131">
        <v>-12465</v>
      </c>
      <c r="U32" s="131">
        <v>-306</v>
      </c>
      <c r="V32" s="131">
        <v>-4626</v>
      </c>
      <c r="W32" s="131">
        <v>11981</v>
      </c>
      <c r="X32" s="131">
        <v>587</v>
      </c>
      <c r="Y32" s="122"/>
      <c r="Z32" s="50"/>
      <c r="AE32" s="13"/>
      <c r="BB32" s="283" t="str">
        <f>CountryCode &amp; ".T2.F8LIA1.S1314.MNAC." &amp; RefVintage</f>
        <v>HU.T2.F8LIA1.S1314.MNAC.W.2020</v>
      </c>
    </row>
    <row r="33" spans="1:54" ht="15.75">
      <c r="A33" s="159" t="s">
        <v>558</v>
      </c>
      <c r="B33" s="414" t="s">
        <v>771</v>
      </c>
      <c r="C33" s="130" t="s">
        <v>1171</v>
      </c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>
        <v>175</v>
      </c>
      <c r="R33" s="131">
        <v>-1010</v>
      </c>
      <c r="S33" s="131">
        <v>354</v>
      </c>
      <c r="T33" s="131">
        <v>1125</v>
      </c>
      <c r="U33" s="131">
        <v>82</v>
      </c>
      <c r="V33" s="131">
        <v>-200</v>
      </c>
      <c r="W33" s="131">
        <v>-214</v>
      </c>
      <c r="X33" s="131">
        <v>151</v>
      </c>
      <c r="Y33" s="122"/>
      <c r="Z33" s="50"/>
      <c r="AE33" s="13"/>
      <c r="BB33" s="283" t="str">
        <f>CountryCode &amp; ".T2.F8LIA2.S1314.MNAC." &amp; RefVintage</f>
        <v>HU.T2.F8LIA2.S1314.MNAC.W.2020</v>
      </c>
    </row>
    <row r="34" spans="1:54" ht="15.75">
      <c r="A34" s="290"/>
      <c r="B34" s="153"/>
      <c r="C34" s="162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20"/>
      <c r="Z34" s="50"/>
      <c r="AE34" s="13"/>
    </row>
    <row r="35" spans="1:54" ht="15.75">
      <c r="A35" s="290" t="s">
        <v>275</v>
      </c>
      <c r="B35" s="414" t="s">
        <v>779</v>
      </c>
      <c r="C35" s="308" t="s">
        <v>77</v>
      </c>
      <c r="D35" s="133" t="s">
        <v>1019</v>
      </c>
      <c r="E35" s="133" t="s">
        <v>1019</v>
      </c>
      <c r="F35" s="133" t="s">
        <v>1019</v>
      </c>
      <c r="G35" s="133" t="s">
        <v>1019</v>
      </c>
      <c r="H35" s="133" t="s">
        <v>1019</v>
      </c>
      <c r="I35" s="133" t="s">
        <v>1019</v>
      </c>
      <c r="J35" s="133" t="s">
        <v>1019</v>
      </c>
      <c r="K35" s="133" t="s">
        <v>1019</v>
      </c>
      <c r="L35" s="133" t="s">
        <v>1019</v>
      </c>
      <c r="M35" s="133" t="s">
        <v>1019</v>
      </c>
      <c r="N35" s="133" t="s">
        <v>1019</v>
      </c>
      <c r="O35" s="133" t="s">
        <v>1019</v>
      </c>
      <c r="P35" s="133" t="s">
        <v>1019</v>
      </c>
      <c r="Q35" s="133" t="s">
        <v>1019</v>
      </c>
      <c r="R35" s="133" t="s">
        <v>1019</v>
      </c>
      <c r="S35" s="133" t="s">
        <v>1019</v>
      </c>
      <c r="T35" s="133" t="s">
        <v>1019</v>
      </c>
      <c r="U35" s="133" t="s">
        <v>1019</v>
      </c>
      <c r="V35" s="133" t="s">
        <v>1019</v>
      </c>
      <c r="W35" s="133" t="s">
        <v>1019</v>
      </c>
      <c r="X35" s="133" t="s">
        <v>1019</v>
      </c>
      <c r="Y35" s="120"/>
      <c r="Z35" s="50"/>
      <c r="AE35" s="13"/>
      <c r="BB35" s="283" t="str">
        <f>CountryCode &amp; ".T2.B9_OWB.S1314.MNAC." &amp; RefVintage</f>
        <v>HU.T2.B9_OWB.S1314.MNAC.W.2020</v>
      </c>
    </row>
    <row r="36" spans="1:54" ht="15.75">
      <c r="A36" s="290" t="s">
        <v>276</v>
      </c>
      <c r="B36" s="414" t="s">
        <v>780</v>
      </c>
      <c r="C36" s="308" t="s">
        <v>583</v>
      </c>
      <c r="D36" s="133" t="s">
        <v>1019</v>
      </c>
      <c r="E36" s="133" t="s">
        <v>1019</v>
      </c>
      <c r="F36" s="133" t="s">
        <v>1019</v>
      </c>
      <c r="G36" s="133" t="s">
        <v>1019</v>
      </c>
      <c r="H36" s="133" t="s">
        <v>1019</v>
      </c>
      <c r="I36" s="133" t="s">
        <v>1019</v>
      </c>
      <c r="J36" s="133" t="s">
        <v>1019</v>
      </c>
      <c r="K36" s="133" t="s">
        <v>1019</v>
      </c>
      <c r="L36" s="133" t="s">
        <v>1019</v>
      </c>
      <c r="M36" s="133" t="s">
        <v>1019</v>
      </c>
      <c r="N36" s="133" t="s">
        <v>1019</v>
      </c>
      <c r="O36" s="133" t="s">
        <v>1019</v>
      </c>
      <c r="P36" s="133" t="s">
        <v>1019</v>
      </c>
      <c r="Q36" s="133" t="s">
        <v>1019</v>
      </c>
      <c r="R36" s="133" t="s">
        <v>1019</v>
      </c>
      <c r="S36" s="133" t="s">
        <v>1019</v>
      </c>
      <c r="T36" s="133" t="s">
        <v>1019</v>
      </c>
      <c r="U36" s="133" t="s">
        <v>1019</v>
      </c>
      <c r="V36" s="133" t="s">
        <v>1019</v>
      </c>
      <c r="W36" s="133" t="s">
        <v>1019</v>
      </c>
      <c r="X36" s="133" t="s">
        <v>1019</v>
      </c>
      <c r="Y36" s="120"/>
      <c r="Z36" s="50"/>
      <c r="AE36" s="13"/>
      <c r="BB36" s="283" t="str">
        <f>CountryCode &amp; ".T2.B9_OB.S1314.MNAC." &amp; RefVintage</f>
        <v>HU.T2.B9_OB.S1314.MNAC.W.2020</v>
      </c>
    </row>
    <row r="37" spans="1:54" ht="15.75">
      <c r="A37" s="159" t="s">
        <v>277</v>
      </c>
      <c r="B37" s="414" t="s">
        <v>781</v>
      </c>
      <c r="C37" s="130" t="s">
        <v>69</v>
      </c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22"/>
      <c r="Z37" s="50"/>
      <c r="AE37" s="13"/>
      <c r="BB37" s="283" t="str">
        <f>CountryCode &amp; ".T2.B9_OB1.S1314.MNAC." &amp; RefVintage</f>
        <v>HU.T2.B9_OB1.S1314.MNAC.W.2020</v>
      </c>
    </row>
    <row r="38" spans="1:54" ht="15.75">
      <c r="A38" s="159" t="s">
        <v>278</v>
      </c>
      <c r="B38" s="414" t="s">
        <v>782</v>
      </c>
      <c r="C38" s="130" t="s">
        <v>70</v>
      </c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22"/>
      <c r="Z38" s="50"/>
      <c r="AE38" s="13"/>
      <c r="BB38" s="283" t="str">
        <f>CountryCode &amp; ".T2.B9_OB2.S1314.MNAC." &amp; RefVintage</f>
        <v>HU.T2.B9_OB2.S1314.MNAC.W.2020</v>
      </c>
    </row>
    <row r="39" spans="1:54" ht="15.75">
      <c r="A39" s="290"/>
      <c r="B39" s="427"/>
      <c r="C39" s="162"/>
      <c r="D39" s="134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20"/>
      <c r="Z39" s="50"/>
      <c r="AE39" s="13"/>
    </row>
    <row r="40" spans="1:54" ht="15.75">
      <c r="A40" s="290" t="s">
        <v>279</v>
      </c>
      <c r="B40" s="414" t="s">
        <v>791</v>
      </c>
      <c r="C40" s="308" t="s">
        <v>48</v>
      </c>
      <c r="D40" s="133">
        <v>41584</v>
      </c>
      <c r="E40" s="133">
        <v>104730</v>
      </c>
      <c r="F40" s="133">
        <v>53616</v>
      </c>
      <c r="G40" s="133">
        <v>54470</v>
      </c>
      <c r="H40" s="133">
        <v>90775</v>
      </c>
      <c r="I40" s="133">
        <v>42905</v>
      </c>
      <c r="J40" s="133">
        <v>80113</v>
      </c>
      <c r="K40" s="133">
        <v>28811</v>
      </c>
      <c r="L40" s="133">
        <v>99389</v>
      </c>
      <c r="M40" s="133">
        <v>348968</v>
      </c>
      <c r="N40" s="133">
        <v>423903</v>
      </c>
      <c r="O40" s="133">
        <v>468806</v>
      </c>
      <c r="P40" s="133">
        <v>130793</v>
      </c>
      <c r="Q40" s="133">
        <v>0</v>
      </c>
      <c r="R40" s="133">
        <v>67360</v>
      </c>
      <c r="S40" s="133">
        <v>129216</v>
      </c>
      <c r="T40" s="133">
        <v>78412</v>
      </c>
      <c r="U40" s="133">
        <v>83654</v>
      </c>
      <c r="V40" s="133">
        <v>117562</v>
      </c>
      <c r="W40" s="133">
        <v>513</v>
      </c>
      <c r="X40" s="133">
        <v>0</v>
      </c>
      <c r="Y40" s="120"/>
      <c r="Z40" s="50"/>
      <c r="AE40" s="13"/>
      <c r="BB40" s="283" t="str">
        <f>CountryCode &amp; ".T2.OA.S1314.MNAC." &amp; RefVintage</f>
        <v>HU.T2.OA.S1314.MNAC.W.2020</v>
      </c>
    </row>
    <row r="41" spans="1:54" ht="15.75">
      <c r="A41" s="159" t="s">
        <v>280</v>
      </c>
      <c r="B41" s="414" t="s">
        <v>792</v>
      </c>
      <c r="C41" s="130" t="s">
        <v>1172</v>
      </c>
      <c r="D41" s="131">
        <v>41584</v>
      </c>
      <c r="E41" s="131">
        <v>104730</v>
      </c>
      <c r="F41" s="131">
        <v>53616</v>
      </c>
      <c r="G41" s="131">
        <v>54470</v>
      </c>
      <c r="H41" s="131">
        <v>90775</v>
      </c>
      <c r="I41" s="131">
        <v>42905</v>
      </c>
      <c r="J41" s="131">
        <v>80113</v>
      </c>
      <c r="K41" s="131">
        <v>28811</v>
      </c>
      <c r="L41" s="131">
        <v>99389</v>
      </c>
      <c r="M41" s="131">
        <v>348968</v>
      </c>
      <c r="N41" s="131">
        <v>423903</v>
      </c>
      <c r="O41" s="131">
        <v>468806</v>
      </c>
      <c r="P41" s="131">
        <v>130793</v>
      </c>
      <c r="Q41" s="131">
        <v>0</v>
      </c>
      <c r="R41" s="131">
        <v>67360</v>
      </c>
      <c r="S41" s="131">
        <v>156697</v>
      </c>
      <c r="T41" s="131">
        <v>95386</v>
      </c>
      <c r="U41" s="131">
        <v>83654</v>
      </c>
      <c r="V41" s="131">
        <v>117562</v>
      </c>
      <c r="W41" s="131">
        <v>513</v>
      </c>
      <c r="X41" s="131">
        <v>0</v>
      </c>
      <c r="Y41" s="122"/>
      <c r="Z41" s="50"/>
      <c r="AE41" s="13"/>
      <c r="BB41" s="283" t="str">
        <f>CountryCode &amp; ".T2.OA1.S1314.MNAC." &amp; RefVintage</f>
        <v>HU.T2.OA1.S1314.MNAC.W.2020</v>
      </c>
    </row>
    <row r="42" spans="1:54" ht="15.75">
      <c r="A42" s="159" t="s">
        <v>281</v>
      </c>
      <c r="B42" s="414" t="s">
        <v>793</v>
      </c>
      <c r="C42" s="130" t="s">
        <v>1173</v>
      </c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>
        <v>-27481</v>
      </c>
      <c r="T42" s="131"/>
      <c r="U42" s="131"/>
      <c r="V42" s="131"/>
      <c r="W42" s="131"/>
      <c r="X42" s="131"/>
      <c r="Y42" s="122"/>
      <c r="Z42" s="50"/>
      <c r="AE42" s="13"/>
      <c r="BB42" s="283" t="str">
        <f>CountryCode &amp; ".T2.OA2.S1314.MNAC." &amp; RefVintage</f>
        <v>HU.T2.OA2.S1314.MNAC.W.2020</v>
      </c>
    </row>
    <row r="43" spans="1:54" ht="15.75">
      <c r="A43" s="159" t="s">
        <v>282</v>
      </c>
      <c r="B43" s="414" t="s">
        <v>794</v>
      </c>
      <c r="C43" s="130" t="s">
        <v>1174</v>
      </c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>
        <v>-16974</v>
      </c>
      <c r="U43" s="131"/>
      <c r="V43" s="131"/>
      <c r="W43" s="131"/>
      <c r="X43" s="131"/>
      <c r="Y43" s="122"/>
      <c r="Z43" s="50"/>
      <c r="AE43" s="13"/>
      <c r="BB43" s="283" t="str">
        <f>CountryCode &amp; ".T2.OA3.S1314.MNAC." &amp; RefVintage</f>
        <v>HU.T2.OA3.S1314.MNAC.W.2020</v>
      </c>
    </row>
    <row r="44" spans="1:54" ht="16.5" thickBot="1">
      <c r="A44" s="290"/>
      <c r="B44" s="153"/>
      <c r="C44" s="162"/>
      <c r="D44" s="127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3"/>
      <c r="Z44" s="50"/>
      <c r="AE44" s="13"/>
    </row>
    <row r="45" spans="1:54" ht="17.25" thickTop="1" thickBot="1">
      <c r="A45" s="290" t="s">
        <v>283</v>
      </c>
      <c r="B45" s="414" t="s">
        <v>800</v>
      </c>
      <c r="C45" s="163" t="s">
        <v>567</v>
      </c>
      <c r="D45" s="86">
        <v>114</v>
      </c>
      <c r="E45" s="86">
        <v>41592</v>
      </c>
      <c r="F45" s="86">
        <v>8720</v>
      </c>
      <c r="G45" s="86">
        <v>-35422</v>
      </c>
      <c r="H45" s="86">
        <v>-18781</v>
      </c>
      <c r="I45" s="86">
        <v>-14537.002999999924</v>
      </c>
      <c r="J45" s="86">
        <v>70489.000000000029</v>
      </c>
      <c r="K45" s="86">
        <v>-51352</v>
      </c>
      <c r="L45" s="86">
        <v>-241855</v>
      </c>
      <c r="M45" s="86">
        <v>-61672</v>
      </c>
      <c r="N45" s="86">
        <v>-37323</v>
      </c>
      <c r="O45" s="86">
        <v>376953</v>
      </c>
      <c r="P45" s="86">
        <v>177173</v>
      </c>
      <c r="Q45" s="86">
        <v>-80496</v>
      </c>
      <c r="R45" s="86">
        <v>-109919</v>
      </c>
      <c r="S45" s="86">
        <v>47124</v>
      </c>
      <c r="T45" s="86">
        <v>7727</v>
      </c>
      <c r="U45" s="86">
        <v>-4085</v>
      </c>
      <c r="V45" s="87">
        <v>136789</v>
      </c>
      <c r="W45" s="86">
        <v>42538.5</v>
      </c>
      <c r="X45" s="87">
        <v>2897.4359999995577</v>
      </c>
      <c r="Y45" s="4"/>
      <c r="Z45" s="49"/>
      <c r="AE45" s="13"/>
      <c r="BB45" s="283" t="str">
        <f>CountryCode &amp; ".T2.B9.S1314.MNAC." &amp; RefVintage</f>
        <v>HU.T2.B9.S1314.MNAC.W.2020</v>
      </c>
    </row>
    <row r="46" spans="1:54" ht="16.5" thickTop="1">
      <c r="A46" s="152"/>
      <c r="B46" s="150"/>
      <c r="C46" s="313" t="s">
        <v>472</v>
      </c>
      <c r="D46" s="59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50"/>
      <c r="AA46" s="13"/>
    </row>
    <row r="47" spans="1:54" ht="9" customHeight="1">
      <c r="A47" s="152"/>
      <c r="B47" s="150"/>
      <c r="C47" s="344"/>
      <c r="D47" s="6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50"/>
      <c r="AA47" s="13"/>
    </row>
    <row r="48" spans="1:54" s="23" customFormat="1" ht="15.75">
      <c r="A48" s="152"/>
      <c r="B48" s="150"/>
      <c r="C48" s="314" t="s">
        <v>88</v>
      </c>
      <c r="D48" s="13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50"/>
      <c r="AA48" s="13"/>
      <c r="BB48" s="315"/>
    </row>
    <row r="49" spans="1:28" ht="15.75">
      <c r="A49" s="152"/>
      <c r="B49" s="150"/>
      <c r="C49" s="224" t="s">
        <v>91</v>
      </c>
      <c r="D49" s="13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50"/>
      <c r="AA49" s="13"/>
    </row>
    <row r="50" spans="1:28" ht="12" customHeight="1" thickBot="1">
      <c r="A50" s="165"/>
      <c r="B50" s="170"/>
      <c r="C50" s="166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2"/>
      <c r="AB50" s="13"/>
    </row>
    <row r="51" spans="1:28" ht="16.5" thickTop="1">
      <c r="A51" s="26"/>
      <c r="B51" s="30"/>
      <c r="AB51" s="13"/>
    </row>
    <row r="52" spans="1:28">
      <c r="A52" s="26"/>
    </row>
    <row r="53" spans="1:28" ht="30" customHeight="1">
      <c r="A53" s="26"/>
      <c r="C53" s="323" t="s">
        <v>120</v>
      </c>
      <c r="D53" s="544" t="str">
        <f>IF(COUNTA(D8:W8,D11:W16,D20:W20,D24:W24,D26:W26,D31:W31,D35:W36,D40:W40,D45:W45)/300*100=100,"OK - Table 2D is fully completed","WARNING - Table 2D is not fully completed, please fill in figure, L, M or 0")</f>
        <v>OK - Table 2D is fully completed</v>
      </c>
      <c r="E53" s="544"/>
      <c r="F53" s="544"/>
      <c r="G53" s="544"/>
      <c r="H53" s="544"/>
      <c r="I53" s="544"/>
      <c r="J53" s="544"/>
      <c r="K53" s="544"/>
      <c r="L53" s="544"/>
      <c r="M53" s="544"/>
      <c r="N53" s="544"/>
      <c r="O53" s="544"/>
      <c r="P53" s="544"/>
      <c r="Q53" s="544"/>
      <c r="R53" s="544"/>
      <c r="S53" s="544"/>
      <c r="T53" s="544"/>
      <c r="U53" s="544"/>
      <c r="V53" s="544"/>
      <c r="W53" s="544"/>
      <c r="X53" s="544"/>
      <c r="Y53" s="316"/>
      <c r="Z53" s="195"/>
    </row>
    <row r="54" spans="1:28" ht="15.75">
      <c r="A54" s="26"/>
      <c r="C54" s="196" t="s">
        <v>121</v>
      </c>
      <c r="D54" s="324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267"/>
      <c r="U54" s="267"/>
      <c r="V54" s="267"/>
      <c r="W54" s="267"/>
      <c r="X54" s="267"/>
      <c r="Y54" s="197"/>
      <c r="Z54" s="198"/>
    </row>
    <row r="55" spans="1:28" ht="23.25">
      <c r="A55" s="26"/>
      <c r="C55" s="317" t="s">
        <v>559</v>
      </c>
      <c r="D55" s="318">
        <f>IF(AND(D45="0",D8="0",D11="0",D20="0",D24="0",D26="0",D31="0",D35="0",D36="0",D40="0"),0,IF(AND(D45="L",D8="L",D11="L",D20="L",D24="L",D26="L",D31="L",D35="L",D36="L",D40="L"),"NC",IF(D45="M",0,D45)-IF(D8="M",0,D8)-IF(D11="M",0,D11)-IF(D20="M",0,D20)-IF(D24="M",0,D24)-IF(D26="M",0,D26)-IF(D31="M",0,D31)-IF(D35="M",0,D35)-IF(D36="M",0,D36)-IF(D40="M",0,D40)))</f>
        <v>0</v>
      </c>
      <c r="E55" s="318">
        <f t="shared" ref="E55:S55" si="19">IF(AND(E45="0",E8="0",E11="0",E20="0",E24="0",E26="0",E31="0",E35="0",E36="0",E40="0"),0,IF(AND(E45="L",E8="L",E11="L",E20="L",E24="L",E26="L",E31="L",E35="L",E36="L",E40="L"),"NC",IF(E45="M",0,E45)-IF(E8="M",0,E8)-IF(E11="M",0,E11)-IF(E20="M",0,E20)-IF(E24="M",0,E24)-IF(E26="M",0,E26)-IF(E31="M",0,E31)-IF(E35="M",0,E35)-IF(E36="M",0,E36)-IF(E40="M",0,E40)))</f>
        <v>0</v>
      </c>
      <c r="F55" s="318">
        <f t="shared" si="19"/>
        <v>0</v>
      </c>
      <c r="G55" s="318">
        <f t="shared" si="19"/>
        <v>0</v>
      </c>
      <c r="H55" s="318">
        <f t="shared" si="19"/>
        <v>0</v>
      </c>
      <c r="I55" s="318">
        <f t="shared" si="19"/>
        <v>0</v>
      </c>
      <c r="J55" s="318">
        <f t="shared" si="19"/>
        <v>0</v>
      </c>
      <c r="K55" s="318">
        <f t="shared" si="19"/>
        <v>0</v>
      </c>
      <c r="L55" s="318">
        <f t="shared" si="19"/>
        <v>0</v>
      </c>
      <c r="M55" s="318">
        <f t="shared" si="19"/>
        <v>0</v>
      </c>
      <c r="N55" s="318">
        <f t="shared" si="19"/>
        <v>0</v>
      </c>
      <c r="O55" s="318">
        <f t="shared" si="19"/>
        <v>0</v>
      </c>
      <c r="P55" s="318">
        <f t="shared" si="19"/>
        <v>0</v>
      </c>
      <c r="Q55" s="318">
        <f t="shared" si="19"/>
        <v>0</v>
      </c>
      <c r="R55" s="318">
        <f t="shared" si="19"/>
        <v>0</v>
      </c>
      <c r="S55" s="318">
        <f t="shared" si="19"/>
        <v>0</v>
      </c>
      <c r="T55" s="318">
        <f t="shared" ref="T55:V55" si="20">IF(AND(T45="0",T8="0",T11="0",T20="0",T24="0",T26="0",T31="0",T35="0",T36="0",T40="0"),0,IF(AND(T45="L",T8="L",T11="L",T20="L",T24="L",T26="L",T31="L",T35="L",T36="L",T40="L"),"NC",IF(T45="M",0,T45)-IF(T8="M",0,T8)-IF(T11="M",0,T11)-IF(T20="M",0,T20)-IF(T24="M",0,T24)-IF(T26="M",0,T26)-IF(T31="M",0,T31)-IF(T35="M",0,T35)-IF(T36="M",0,T36)-IF(T40="M",0,T40)))</f>
        <v>0</v>
      </c>
      <c r="U55" s="318">
        <f t="shared" si="20"/>
        <v>0</v>
      </c>
      <c r="V55" s="318">
        <f t="shared" si="20"/>
        <v>0</v>
      </c>
      <c r="W55" s="318">
        <f t="shared" ref="W55:X55" si="21">IF(AND(W45="0",W8="0",W11="0",W20="0",W24="0",W26="0",W31="0",W35="0",W36="0",W40="0"),0,IF(AND(W45="L",W8="L",W11="L",W20="L",W24="L",W26="L",W31="L",W35="L",W36="L",W40="L"),"NC",IF(W45="M",0,W45)-IF(W8="M",0,W8)-IF(W11="M",0,W11)-IF(W20="M",0,W20)-IF(W24="M",0,W24)-IF(W26="M",0,W26)-IF(W31="M",0,W31)-IF(W35="M",0,W35)-IF(W36="M",0,W36)-IF(W40="M",0,W40)))</f>
        <v>0</v>
      </c>
      <c r="X55" s="318">
        <f t="shared" si="21"/>
        <v>0</v>
      </c>
      <c r="Y55" s="197"/>
      <c r="Z55" s="198"/>
    </row>
    <row r="56" spans="1:28" ht="15.75">
      <c r="A56" s="26"/>
      <c r="C56" s="317" t="s">
        <v>145</v>
      </c>
      <c r="D56" s="318">
        <f>IF(AND(D11="0",D12="0",D13="0",D14="0"),0,IF(AND(D11="L",D12="L",D13="L",D14="L"),"NC",IF(D11="M",0,D11)-IF(D12="M",0,D12)-IF(D13="M",0,D13)-IF(D14="M",0,D14)))</f>
        <v>0</v>
      </c>
      <c r="E56" s="318">
        <f t="shared" ref="E56:S56" si="22">IF(AND(E11="0",E12="0",E13="0",E14="0"),0,IF(AND(E11="L",E12="L",E13="L",E14="L"),"NC",IF(E11="M",0,E11)-IF(E12="M",0,E12)-IF(E13="M",0,E13)-IF(E14="M",0,E14)))</f>
        <v>0</v>
      </c>
      <c r="F56" s="318">
        <f t="shared" si="22"/>
        <v>0</v>
      </c>
      <c r="G56" s="318">
        <f t="shared" si="22"/>
        <v>0</v>
      </c>
      <c r="H56" s="318">
        <f t="shared" si="22"/>
        <v>0</v>
      </c>
      <c r="I56" s="318">
        <f t="shared" si="22"/>
        <v>0</v>
      </c>
      <c r="J56" s="318">
        <f t="shared" si="22"/>
        <v>0</v>
      </c>
      <c r="K56" s="318">
        <f t="shared" si="22"/>
        <v>0</v>
      </c>
      <c r="L56" s="318">
        <f t="shared" si="22"/>
        <v>0</v>
      </c>
      <c r="M56" s="318">
        <f t="shared" si="22"/>
        <v>0</v>
      </c>
      <c r="N56" s="318">
        <f t="shared" si="22"/>
        <v>0</v>
      </c>
      <c r="O56" s="318">
        <f t="shared" si="22"/>
        <v>0</v>
      </c>
      <c r="P56" s="318">
        <f t="shared" si="22"/>
        <v>0</v>
      </c>
      <c r="Q56" s="318">
        <f t="shared" si="22"/>
        <v>0</v>
      </c>
      <c r="R56" s="318">
        <f t="shared" si="22"/>
        <v>0</v>
      </c>
      <c r="S56" s="318">
        <f t="shared" si="22"/>
        <v>0</v>
      </c>
      <c r="T56" s="318">
        <f t="shared" ref="T56:V56" si="23">IF(AND(T11="0",T12="0",T13="0",T14="0"),0,IF(AND(T11="L",T12="L",T13="L",T14="L"),"NC",IF(T11="M",0,T11)-IF(T12="M",0,T12)-IF(T13="M",0,T13)-IF(T14="M",0,T14)))</f>
        <v>0</v>
      </c>
      <c r="U56" s="318">
        <f t="shared" si="23"/>
        <v>0</v>
      </c>
      <c r="V56" s="318">
        <f t="shared" si="23"/>
        <v>0</v>
      </c>
      <c r="W56" s="318">
        <f t="shared" ref="W56:X56" si="24">IF(AND(W11="0",W12="0",W13="0",W14="0"),0,IF(AND(W11="L",W12="L",W13="L",W14="L"),"NC",IF(W11="M",0,W11)-IF(W12="M",0,W12)-IF(W13="M",0,W13)-IF(W14="M",0,W14)))</f>
        <v>0</v>
      </c>
      <c r="X56" s="318">
        <f t="shared" si="24"/>
        <v>0</v>
      </c>
      <c r="Y56" s="197"/>
      <c r="Z56" s="198"/>
    </row>
    <row r="57" spans="1:28" ht="15.75">
      <c r="A57" s="26"/>
      <c r="C57" s="317" t="s">
        <v>146</v>
      </c>
      <c r="D57" s="318">
        <f>IF(AND(D40="0",D41="0",D42="0",D43="0",D44="0"),0,IF(AND(D40="L",D41="L",D42="L",D43="L",D44="L"),"NC",D40-SUM(D41:D44)))</f>
        <v>0</v>
      </c>
      <c r="E57" s="318">
        <f t="shared" ref="E57:S57" si="25">IF(AND(E40="0",E41="0",E42="0",E43="0",E44="0"),0,IF(AND(E40="L",E41="L",E42="L",E43="L",E44="L"),"NC",E40-SUM(E41:E44)))</f>
        <v>0</v>
      </c>
      <c r="F57" s="318">
        <f t="shared" si="25"/>
        <v>0</v>
      </c>
      <c r="G57" s="318">
        <f t="shared" si="25"/>
        <v>0</v>
      </c>
      <c r="H57" s="318">
        <f t="shared" si="25"/>
        <v>0</v>
      </c>
      <c r="I57" s="318">
        <f t="shared" si="25"/>
        <v>0</v>
      </c>
      <c r="J57" s="318">
        <f t="shared" si="25"/>
        <v>0</v>
      </c>
      <c r="K57" s="318">
        <f t="shared" si="25"/>
        <v>0</v>
      </c>
      <c r="L57" s="318">
        <f t="shared" si="25"/>
        <v>0</v>
      </c>
      <c r="M57" s="318">
        <f t="shared" si="25"/>
        <v>0</v>
      </c>
      <c r="N57" s="318">
        <f t="shared" si="25"/>
        <v>0</v>
      </c>
      <c r="O57" s="318">
        <f t="shared" si="25"/>
        <v>0</v>
      </c>
      <c r="P57" s="318">
        <f t="shared" si="25"/>
        <v>0</v>
      </c>
      <c r="Q57" s="318">
        <f t="shared" si="25"/>
        <v>0</v>
      </c>
      <c r="R57" s="318">
        <f t="shared" si="25"/>
        <v>0</v>
      </c>
      <c r="S57" s="318">
        <f t="shared" si="25"/>
        <v>0</v>
      </c>
      <c r="T57" s="318">
        <f t="shared" ref="T57:V57" si="26">IF(AND(T40="0",T41="0",T42="0",T43="0",T44="0"),0,IF(AND(T40="L",T41="L",T42="L",T43="L",T44="L"),"NC",T40-SUM(T41:T44)))</f>
        <v>0</v>
      </c>
      <c r="U57" s="318">
        <f t="shared" si="26"/>
        <v>0</v>
      </c>
      <c r="V57" s="318">
        <f t="shared" si="26"/>
        <v>0</v>
      </c>
      <c r="W57" s="318">
        <f t="shared" ref="W57:X57" si="27">IF(AND(W40="0",W41="0",W42="0",W43="0",W44="0"),0,IF(AND(W40="L",W41="L",W42="L",W43="L",W44="L"),"NC",W40-SUM(W41:W44)))</f>
        <v>0</v>
      </c>
      <c r="X57" s="318">
        <f t="shared" si="27"/>
        <v>0</v>
      </c>
      <c r="Y57" s="197"/>
      <c r="Z57" s="198"/>
    </row>
    <row r="58" spans="1:28" ht="15.75">
      <c r="A58" s="26"/>
      <c r="C58" s="319" t="s">
        <v>127</v>
      </c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197"/>
      <c r="Z58" s="198"/>
    </row>
    <row r="59" spans="1:28" ht="15.75">
      <c r="A59" s="24"/>
      <c r="C59" s="320" t="s">
        <v>147</v>
      </c>
      <c r="D59" s="203">
        <f>IF(AND('Table 1'!E14="0",'Table 2D'!D45="0"),0,IF(AND('Table 1'!E14="L",'Table 2D'!D45="L"),"NC",IF('Table 1'!E14="M",0,'Table 1'!E14)-IF('Table 2D'!D45="M",0,'Table 2D'!D45)))</f>
        <v>0</v>
      </c>
      <c r="E59" s="203">
        <f>IF(AND('Table 1'!F14="0",'Table 2D'!E45="0"),0,IF(AND('Table 1'!F14="L",'Table 2D'!E45="L"),"NC",IF('Table 1'!F14="M",0,'Table 1'!F14)-IF('Table 2D'!E45="M",0,'Table 2D'!E45)))</f>
        <v>0</v>
      </c>
      <c r="F59" s="203">
        <f>IF(AND('Table 1'!G14="0",'Table 2D'!F45="0"),0,IF(AND('Table 1'!G14="L",'Table 2D'!F45="L"),"NC",IF('Table 1'!G14="M",0,'Table 1'!G14)-IF('Table 2D'!F45="M",0,'Table 2D'!F45)))</f>
        <v>0</v>
      </c>
      <c r="G59" s="203">
        <f>IF(AND('Table 1'!H14="0",'Table 2D'!G45="0"),0,IF(AND('Table 1'!H14="L",'Table 2D'!G45="L"),"NC",IF('Table 1'!H14="M",0,'Table 1'!H14)-IF('Table 2D'!G45="M",0,'Table 2D'!G45)))</f>
        <v>0</v>
      </c>
      <c r="H59" s="203">
        <f>IF(AND('Table 1'!I14="0",'Table 2D'!H45="0"),0,IF(AND('Table 1'!I14="L",'Table 2D'!H45="L"),"NC",IF('Table 1'!I14="M",0,'Table 1'!I14)-IF('Table 2D'!H45="M",0,'Table 2D'!H45)))</f>
        <v>0</v>
      </c>
      <c r="I59" s="203">
        <f>IF(AND('Table 1'!J14="0",'Table 2D'!I45="0"),0,IF(AND('Table 1'!J14="L",'Table 2D'!I45="L"),"NC",IF('Table 1'!J14="M",0,'Table 1'!J14)-IF('Table 2D'!I45="M",0,'Table 2D'!I45)))</f>
        <v>0</v>
      </c>
      <c r="J59" s="203">
        <f>IF(AND('Table 1'!K14="0",'Table 2D'!J45="0"),0,IF(AND('Table 1'!K14="L",'Table 2D'!J45="L"),"NC",IF('Table 1'!K14="M",0,'Table 1'!K14)-IF('Table 2D'!J45="M",0,'Table 2D'!J45)))</f>
        <v>0</v>
      </c>
      <c r="K59" s="203">
        <f>IF(AND('Table 1'!L14="0",'Table 2D'!K45="0"),0,IF(AND('Table 1'!L14="L",'Table 2D'!K45="L"),"NC",IF('Table 1'!L14="M",0,'Table 1'!L14)-IF('Table 2D'!K45="M",0,'Table 2D'!K45)))</f>
        <v>0</v>
      </c>
      <c r="L59" s="203">
        <f>IF(AND('Table 1'!M14="0",'Table 2D'!L45="0"),0,IF(AND('Table 1'!M14="L",'Table 2D'!L45="L"),"NC",IF('Table 1'!M14="M",0,'Table 1'!M14)-IF('Table 2D'!L45="M",0,'Table 2D'!L45)))</f>
        <v>0</v>
      </c>
      <c r="M59" s="203">
        <f>IF(AND('Table 1'!N14="0",'Table 2D'!M45="0"),0,IF(AND('Table 1'!N14="L",'Table 2D'!M45="L"),"NC",IF('Table 1'!N14="M",0,'Table 1'!N14)-IF('Table 2D'!M45="M",0,'Table 2D'!M45)))</f>
        <v>0</v>
      </c>
      <c r="N59" s="203">
        <f>IF(AND('Table 1'!O14="0",'Table 2D'!N45="0"),0,IF(AND('Table 1'!O14="L",'Table 2D'!N45="L"),"NC",IF('Table 1'!O14="M",0,'Table 1'!O14)-IF('Table 2D'!N45="M",0,'Table 2D'!N45)))</f>
        <v>0</v>
      </c>
      <c r="O59" s="203">
        <f>IF(AND('Table 1'!P14="0",'Table 2D'!O45="0"),0,IF(AND('Table 1'!P14="L",'Table 2D'!O45="L"),"NC",IF('Table 1'!P14="M",0,'Table 1'!P14)-IF('Table 2D'!O45="M",0,'Table 2D'!O45)))</f>
        <v>0</v>
      </c>
      <c r="P59" s="203">
        <f>IF(AND('Table 1'!Q14="0",'Table 2D'!P45="0"),0,IF(AND('Table 1'!Q14="L",'Table 2D'!P45="L"),"NC",IF('Table 1'!Q14="M",0,'Table 1'!Q14)-IF('Table 2D'!P45="M",0,'Table 2D'!P45)))</f>
        <v>0</v>
      </c>
      <c r="Q59" s="203">
        <f>IF(AND('Table 1'!R14="0",'Table 2D'!Q45="0"),0,IF(AND('Table 1'!R14="L",'Table 2D'!Q45="L"),"NC",IF('Table 1'!R14="M",0,'Table 1'!R14)-IF('Table 2D'!Q45="M",0,'Table 2D'!Q45)))</f>
        <v>0</v>
      </c>
      <c r="R59" s="203">
        <f>IF(AND('Table 1'!S14="0",'Table 2D'!R45="0"),0,IF(AND('Table 1'!S14="L",'Table 2D'!R45="L"),"NC",IF('Table 1'!S14="M",0,'Table 1'!S14)-IF('Table 2D'!R45="M",0,'Table 2D'!R45)))</f>
        <v>0</v>
      </c>
      <c r="S59" s="203">
        <f>IF(AND('Table 1'!T14="0",'Table 2D'!S45="0"),0,IF(AND('Table 1'!T14="L",'Table 2D'!S45="L"),"NC",IF('Table 1'!T14="M",0,'Table 1'!T14)-IF('Table 2D'!S45="M",0,'Table 2D'!S45)))</f>
        <v>0</v>
      </c>
      <c r="T59" s="203">
        <f>IF(AND('Table 1'!U14="0",'Table 2D'!T45="0"),0,IF(AND('Table 1'!U14="L",'Table 2D'!T45="L"),"NC",IF('Table 1'!U14="M",0,'Table 1'!U14)-IF('Table 2D'!T45="M",0,'Table 2D'!T45)))</f>
        <v>0</v>
      </c>
      <c r="U59" s="203">
        <f>IF(AND('Table 1'!V14="0",'Table 2D'!U45="0"),0,IF(AND('Table 1'!V14="L",'Table 2D'!U45="L"),"NC",IF('Table 1'!V14="M",0,'Table 1'!V14)-IF('Table 2D'!U45="M",0,'Table 2D'!U45)))</f>
        <v>0</v>
      </c>
      <c r="V59" s="203">
        <f>IF(AND('Table 1'!W14="0",'Table 2D'!V45="0"),0,IF(AND('Table 1'!W14="L",'Table 2D'!V45="L"),"NC",IF('Table 1'!W14="M",0,'Table 1'!W14)-IF('Table 2D'!V45="M",0,'Table 2D'!V45)))</f>
        <v>0</v>
      </c>
      <c r="W59" s="203">
        <f>IF(AND('Table 1'!X14="0",'Table 2D'!W45="0"),0,IF(AND('Table 1'!X14="L",'Table 2D'!W45="L"),"NC",IF('Table 1'!X14="M",0,'Table 1'!X14)-IF('Table 2D'!W45="M",0,'Table 2D'!W45)))</f>
        <v>0</v>
      </c>
      <c r="X59" s="203">
        <f>IF(AND('Table 1'!Y14="0",'Table 2D'!X45="0"),0,IF(AND('Table 1'!Y14="L",'Table 2D'!X45="L"),"NC",IF('Table 1'!Y14="M",0,'Table 1'!Y14)-IF('Table 2D'!X45="M",0,'Table 2D'!X45)))</f>
        <v>0</v>
      </c>
      <c r="Y59" s="321"/>
      <c r="Z59" s="322"/>
    </row>
    <row r="60" spans="1:28">
      <c r="A60" s="24"/>
    </row>
    <row r="61" spans="1:28">
      <c r="A61" s="24"/>
    </row>
    <row r="62" spans="1:28">
      <c r="A62" s="24"/>
    </row>
    <row r="63" spans="1:28">
      <c r="A63" s="26"/>
    </row>
    <row r="64" spans="1:28">
      <c r="A64" s="26"/>
    </row>
  </sheetData>
  <sheetProtection algorithmName="SHA-512" hashValue="4YmqT5TT0g6cBHESkeYeG69HwhPqdMX4HdG2MyJ3ZPtJ6c1OgoKEMc5BIgcc7ujVTDdOYdXWuMV5JjRN+R7TCQ==" saltValue="61Rc6E2+KLDaxOGfwYh41A==" spinCount="100000" sheet="1" objects="1" formatColumns="0" formatRows="0" insertRows="0" insertHyperlinks="0" deleteRows="0"/>
  <mergeCells count="2">
    <mergeCell ref="D4:X4"/>
    <mergeCell ref="D53:X53"/>
  </mergeCells>
  <phoneticPr fontId="35" type="noConversion"/>
  <conditionalFormatting sqref="D8:X8 D11:V16 D20:V20 D24:V24 D26:V26 D31:V31 D40:V40 D45:V45 D35:V36">
    <cfRule type="cellIs" dxfId="14" priority="4" operator="equal">
      <formula>""</formula>
    </cfRule>
  </conditionalFormatting>
  <conditionalFormatting sqref="D53">
    <cfRule type="expression" dxfId="13" priority="168" stopIfTrue="1">
      <formula>COUNTA(D8:V8,D11:V16,D20:V20,D24:V24,D26:V26,D31:V31,D35:V36,D40:V40,D45:V45)/285*100&lt;&gt;100</formula>
    </cfRule>
  </conditionalFormatting>
  <conditionalFormatting sqref="W11:X16 W20:X20 W24:X24 W26:X26 W31:X31 W40:X40 W45:X45 W35:X36">
    <cfRule type="cellIs" dxfId="1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X9">
      <formula1>$AB$1:$AB$4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BB75"/>
  <sheetViews>
    <sheetView showGridLines="0" defaultGridColor="0" topLeftCell="C1" colorId="22" zoomScale="70" zoomScaleNormal="70" zoomScaleSheetLayoutView="80" workbookViewId="0"/>
  </sheetViews>
  <sheetFormatPr defaultColWidth="9.77734375" defaultRowHeight="15"/>
  <cols>
    <col min="1" max="1" width="30.88671875" style="30" hidden="1" customWidth="1"/>
    <col min="2" max="2" width="37.88671875" style="79" customWidth="1"/>
    <col min="3" max="3" width="68" style="28" customWidth="1"/>
    <col min="4" max="24" width="13.33203125" style="23" customWidth="1"/>
    <col min="25" max="25" width="86.6640625" style="23" customWidth="1"/>
    <col min="26" max="26" width="5.33203125" style="23" customWidth="1"/>
    <col min="27" max="27" width="1" style="23" customWidth="1"/>
    <col min="28" max="28" width="0.5546875" style="23" customWidth="1"/>
    <col min="29" max="29" width="9.77734375" style="23"/>
    <col min="30" max="34" width="7.77734375" style="23" customWidth="1"/>
    <col min="35" max="53" width="9.77734375" style="23"/>
    <col min="54" max="54" width="9.77734375" style="315"/>
    <col min="55" max="16384" width="9.77734375" style="23"/>
  </cols>
  <sheetData>
    <row r="1" spans="1:54" ht="9.75" customHeight="1">
      <c r="A1" s="345"/>
      <c r="B1" s="335"/>
      <c r="C1" s="171"/>
      <c r="D1" s="61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B1" s="13"/>
      <c r="AC1" s="219" t="s">
        <v>1014</v>
      </c>
      <c r="AD1" s="219">
        <v>3</v>
      </c>
      <c r="AE1" s="219">
        <v>4</v>
      </c>
      <c r="AF1" s="219">
        <v>5</v>
      </c>
      <c r="AG1" s="219">
        <v>6</v>
      </c>
      <c r="AH1" s="219">
        <f>AG1+1</f>
        <v>7</v>
      </c>
      <c r="AI1" s="219">
        <f t="shared" ref="AI1:AT1" si="0">AH1+1</f>
        <v>8</v>
      </c>
      <c r="AJ1" s="219">
        <f t="shared" si="0"/>
        <v>9</v>
      </c>
      <c r="AK1" s="219">
        <f t="shared" si="0"/>
        <v>10</v>
      </c>
      <c r="AL1" s="219">
        <f t="shared" si="0"/>
        <v>11</v>
      </c>
      <c r="AM1" s="219">
        <f t="shared" si="0"/>
        <v>12</v>
      </c>
      <c r="AN1" s="219">
        <f t="shared" si="0"/>
        <v>13</v>
      </c>
      <c r="AO1" s="219">
        <f t="shared" si="0"/>
        <v>14</v>
      </c>
      <c r="AP1" s="219">
        <f t="shared" si="0"/>
        <v>15</v>
      </c>
      <c r="AQ1" s="219">
        <f t="shared" si="0"/>
        <v>16</v>
      </c>
      <c r="AR1" s="219">
        <f t="shared" si="0"/>
        <v>17</v>
      </c>
      <c r="AS1" s="219">
        <f t="shared" si="0"/>
        <v>18</v>
      </c>
      <c r="AT1" s="219">
        <f t="shared" si="0"/>
        <v>19</v>
      </c>
    </row>
    <row r="2" spans="1:54" ht="9.75" customHeight="1">
      <c r="A2" s="345"/>
      <c r="B2" s="335"/>
      <c r="C2" s="171"/>
      <c r="D2" s="61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B2" s="13"/>
      <c r="AC2" s="219">
        <f>IF($AC$1='Cover page'!$N$2,0,1)</f>
        <v>0</v>
      </c>
    </row>
    <row r="3" spans="1:54" ht="18">
      <c r="A3" s="284"/>
      <c r="B3" s="292"/>
      <c r="C3" s="293" t="s">
        <v>584</v>
      </c>
      <c r="D3" s="223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AB3" s="13"/>
    </row>
    <row r="4" spans="1:54" ht="16.5" thickBot="1">
      <c r="A4" s="284"/>
      <c r="B4" s="292"/>
      <c r="AB4" s="13"/>
    </row>
    <row r="5" spans="1:54" ht="16.5" thickTop="1">
      <c r="A5" s="286"/>
      <c r="B5" s="346"/>
      <c r="C5" s="158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40"/>
      <c r="Z5" s="41"/>
      <c r="AB5" s="13"/>
    </row>
    <row r="6" spans="1:54" ht="15.75">
      <c r="A6" s="234"/>
      <c r="B6" s="248"/>
      <c r="C6" s="224" t="str">
        <f>'Cover page'!E13</f>
        <v>Member State: Hungary</v>
      </c>
      <c r="D6" s="538" t="s">
        <v>2</v>
      </c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39"/>
      <c r="S6" s="539"/>
      <c r="T6" s="539"/>
      <c r="U6" s="539"/>
      <c r="V6" s="539"/>
      <c r="W6" s="539"/>
      <c r="X6" s="539"/>
      <c r="Y6" s="43"/>
      <c r="Z6" s="50"/>
    </row>
    <row r="7" spans="1:54" ht="15.75">
      <c r="A7" s="234"/>
      <c r="B7" s="327" t="s">
        <v>485</v>
      </c>
      <c r="C7" s="22" t="s">
        <v>1018</v>
      </c>
      <c r="D7" s="299">
        <f>'Table 1'!E5</f>
        <v>1995</v>
      </c>
      <c r="E7" s="299">
        <f>D7+1</f>
        <v>1996</v>
      </c>
      <c r="F7" s="299">
        <f t="shared" ref="F7:I7" si="1">E7+1</f>
        <v>1997</v>
      </c>
      <c r="G7" s="299">
        <f t="shared" si="1"/>
        <v>1998</v>
      </c>
      <c r="H7" s="299">
        <f t="shared" si="1"/>
        <v>1999</v>
      </c>
      <c r="I7" s="299">
        <f t="shared" si="1"/>
        <v>2000</v>
      </c>
      <c r="J7" s="299">
        <f t="shared" ref="J7" si="2">I7+1</f>
        <v>2001</v>
      </c>
      <c r="K7" s="299">
        <f t="shared" ref="K7" si="3">J7+1</f>
        <v>2002</v>
      </c>
      <c r="L7" s="299">
        <f t="shared" ref="L7" si="4">K7+1</f>
        <v>2003</v>
      </c>
      <c r="M7" s="299">
        <f t="shared" ref="M7" si="5">L7+1</f>
        <v>2004</v>
      </c>
      <c r="N7" s="299">
        <f t="shared" ref="N7" si="6">M7+1</f>
        <v>2005</v>
      </c>
      <c r="O7" s="299">
        <f t="shared" ref="O7" si="7">N7+1</f>
        <v>2006</v>
      </c>
      <c r="P7" s="299">
        <f t="shared" ref="P7" si="8">O7+1</f>
        <v>2007</v>
      </c>
      <c r="Q7" s="299">
        <f t="shared" ref="Q7" si="9">P7+1</f>
        <v>2008</v>
      </c>
      <c r="R7" s="299">
        <f t="shared" ref="R7" si="10">Q7+1</f>
        <v>2009</v>
      </c>
      <c r="S7" s="299">
        <f t="shared" ref="S7" si="11">R7+1</f>
        <v>2010</v>
      </c>
      <c r="T7" s="299">
        <f t="shared" ref="T7" si="12">S7+1</f>
        <v>2011</v>
      </c>
      <c r="U7" s="299">
        <f t="shared" ref="U7" si="13">T7+1</f>
        <v>2012</v>
      </c>
      <c r="V7" s="299">
        <f t="shared" ref="V7:X7" si="14">U7+1</f>
        <v>2013</v>
      </c>
      <c r="W7" s="299">
        <f t="shared" si="14"/>
        <v>2014</v>
      </c>
      <c r="X7" s="299">
        <f t="shared" si="14"/>
        <v>2015</v>
      </c>
      <c r="Y7" s="45"/>
      <c r="Z7" s="50"/>
    </row>
    <row r="8" spans="1:54" ht="15.75">
      <c r="A8" s="234"/>
      <c r="B8" s="288"/>
      <c r="C8" s="238" t="str">
        <f>'Cover page'!E14</f>
        <v>Date: 09/04/2020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487"/>
      <c r="W8" s="487"/>
      <c r="X8" s="487"/>
      <c r="Y8" s="55"/>
      <c r="Z8" s="50"/>
    </row>
    <row r="9" spans="1:54" ht="10.5" customHeight="1" thickBot="1">
      <c r="A9" s="234"/>
      <c r="B9" s="289"/>
      <c r="C9" s="29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88"/>
      <c r="W9" s="488"/>
      <c r="X9" s="488"/>
      <c r="Y9" s="63"/>
      <c r="Z9" s="50"/>
    </row>
    <row r="10" spans="1:54" ht="16.5" customHeight="1" thickTop="1" thickBot="1">
      <c r="A10" s="290" t="s">
        <v>284</v>
      </c>
      <c r="B10" s="414" t="s">
        <v>802</v>
      </c>
      <c r="C10" s="312" t="s">
        <v>568</v>
      </c>
      <c r="D10" s="86">
        <v>501876.34100000001</v>
      </c>
      <c r="E10" s="86">
        <v>311685</v>
      </c>
      <c r="F10" s="86">
        <v>490378.83999999997</v>
      </c>
      <c r="G10" s="86">
        <v>775309.60909090913</v>
      </c>
      <c r="H10" s="86">
        <v>614070</v>
      </c>
      <c r="I10" s="86">
        <v>405236.00299999991</v>
      </c>
      <c r="J10" s="86">
        <v>615856</v>
      </c>
      <c r="K10" s="86">
        <v>1533781</v>
      </c>
      <c r="L10" s="86">
        <v>1374123</v>
      </c>
      <c r="M10" s="86">
        <v>1391280</v>
      </c>
      <c r="N10" s="86">
        <v>1757625.6153846155</v>
      </c>
      <c r="O10" s="86">
        <v>2254329</v>
      </c>
      <c r="P10" s="86">
        <v>1308462</v>
      </c>
      <c r="Q10" s="86">
        <v>1030748</v>
      </c>
      <c r="R10" s="86">
        <v>1259676</v>
      </c>
      <c r="S10" s="86">
        <v>1216741</v>
      </c>
      <c r="T10" s="86">
        <v>1487238</v>
      </c>
      <c r="U10" s="86">
        <v>673987.23800000001</v>
      </c>
      <c r="V10" s="87">
        <v>788385.5</v>
      </c>
      <c r="W10" s="87">
        <v>910277.89020099957</v>
      </c>
      <c r="X10" s="87">
        <v>700702.17656400031</v>
      </c>
      <c r="Y10" s="4"/>
      <c r="Z10" s="50"/>
      <c r="BB10" s="315" t="str">
        <f>CountryCode &amp; ".T3.B9.S13.MNAC." &amp; RefVintage</f>
        <v>HU.T3.B9.S13.MNAC.W.2020</v>
      </c>
    </row>
    <row r="11" spans="1:54" ht="6" customHeight="1" thickTop="1">
      <c r="A11" s="290"/>
      <c r="B11" s="153"/>
      <c r="C11" s="352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88"/>
      <c r="X11" s="88"/>
      <c r="Y11" s="7"/>
      <c r="Z11" s="50"/>
    </row>
    <row r="12" spans="1:54" s="18" customFormat="1" ht="16.5" customHeight="1">
      <c r="A12" s="290" t="s">
        <v>285</v>
      </c>
      <c r="B12" s="414" t="s">
        <v>803</v>
      </c>
      <c r="C12" s="353" t="s">
        <v>93</v>
      </c>
      <c r="D12" s="213">
        <f t="shared" ref="D12:Q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363357</v>
      </c>
      <c r="E12" s="213">
        <f t="shared" si="15"/>
        <v>-113653</v>
      </c>
      <c r="F12" s="213">
        <f t="shared" si="15"/>
        <v>-301823</v>
      </c>
      <c r="G12" s="213">
        <f t="shared" si="15"/>
        <v>-235262</v>
      </c>
      <c r="H12" s="213">
        <f t="shared" si="15"/>
        <v>-24239</v>
      </c>
      <c r="I12" s="213">
        <f t="shared" si="15"/>
        <v>-237956</v>
      </c>
      <c r="J12" s="213">
        <f t="shared" si="15"/>
        <v>478323</v>
      </c>
      <c r="K12" s="213">
        <f t="shared" si="15"/>
        <v>-50372</v>
      </c>
      <c r="L12" s="213">
        <f t="shared" si="15"/>
        <v>-63813</v>
      </c>
      <c r="M12" s="213">
        <f t="shared" si="15"/>
        <v>387266</v>
      </c>
      <c r="N12" s="213">
        <f t="shared" si="15"/>
        <v>-474154</v>
      </c>
      <c r="O12" s="213">
        <f t="shared" si="15"/>
        <v>-138230</v>
      </c>
      <c r="P12" s="213">
        <f t="shared" si="15"/>
        <v>60961</v>
      </c>
      <c r="Q12" s="213">
        <f t="shared" si="15"/>
        <v>1364796</v>
      </c>
      <c r="R12" s="213">
        <f t="shared" ref="R12:S12" si="16">IF(AND(R13="0",R14="0",R15="0",R22="0",R27="0",R28="0",R29="0"),0,IF(AND(R13="M",R14="M",R15="M",R22="M",R27="M",R28="M",R29="M"),"M",IF(AND(R13="L",R14="L",R15="L",R22="L",R27="L",R28="L",R29="L"),"L",IF(AND(ISTEXT(R13),ISTEXT(R14),ISTEXT(R15),ISTEXT(R22),ISTEXT(R27),ISTEXT(R28),ISTEXT(R29)),"M",R13+R14+R15+R22+R27+R28+R29))))</f>
        <v>-92475</v>
      </c>
      <c r="S12" s="213">
        <f t="shared" si="16"/>
        <v>-474391</v>
      </c>
      <c r="T12" s="213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1219333</v>
      </c>
      <c r="U12" s="213">
        <f t="shared" si="17"/>
        <v>-296108</v>
      </c>
      <c r="V12" s="213">
        <f t="shared" si="17"/>
        <v>-157932</v>
      </c>
      <c r="W12" s="213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395993</v>
      </c>
      <c r="X12" s="213">
        <f t="shared" si="18"/>
        <v>394187</v>
      </c>
      <c r="Y12" s="99"/>
      <c r="Z12" s="64"/>
      <c r="BB12" s="509" t="str">
        <f>CountryCode &amp; ".T3.FA.S13.MNAC." &amp; RefVintage</f>
        <v>HU.T3.FA.S13.MNAC.W.2020</v>
      </c>
    </row>
    <row r="13" spans="1:54" s="18" customFormat="1" ht="16.5" customHeight="1">
      <c r="A13" s="290" t="s">
        <v>286</v>
      </c>
      <c r="B13" s="414" t="s">
        <v>804</v>
      </c>
      <c r="C13" s="354" t="s">
        <v>61</v>
      </c>
      <c r="D13" s="100">
        <v>190495</v>
      </c>
      <c r="E13" s="100">
        <v>-190990</v>
      </c>
      <c r="F13" s="100">
        <v>-42978</v>
      </c>
      <c r="G13" s="100">
        <v>-152645</v>
      </c>
      <c r="H13" s="100">
        <v>173178</v>
      </c>
      <c r="I13" s="100">
        <v>-91420</v>
      </c>
      <c r="J13" s="100">
        <v>243712</v>
      </c>
      <c r="K13" s="100">
        <v>-302323</v>
      </c>
      <c r="L13" s="100">
        <v>25570</v>
      </c>
      <c r="M13" s="100">
        <v>307219</v>
      </c>
      <c r="N13" s="100">
        <v>-78005</v>
      </c>
      <c r="O13" s="100">
        <v>137284</v>
      </c>
      <c r="P13" s="100">
        <v>206532</v>
      </c>
      <c r="Q13" s="100">
        <v>1485102</v>
      </c>
      <c r="R13" s="100">
        <v>-663291</v>
      </c>
      <c r="S13" s="100">
        <v>-204426</v>
      </c>
      <c r="T13" s="100">
        <v>178414</v>
      </c>
      <c r="U13" s="100">
        <v>77469</v>
      </c>
      <c r="V13" s="100">
        <v>-385403</v>
      </c>
      <c r="W13" s="100">
        <v>184175</v>
      </c>
      <c r="X13" s="100">
        <v>-272194</v>
      </c>
      <c r="Y13" s="99"/>
      <c r="Z13" s="64"/>
      <c r="BB13" s="509" t="str">
        <f>CountryCode &amp; ".T3.F2.S13.MNAC." &amp; RefVintage</f>
        <v>HU.T3.F2.S13.MNAC.W.2020</v>
      </c>
    </row>
    <row r="14" spans="1:54" s="18" customFormat="1" ht="16.5" customHeight="1">
      <c r="A14" s="290" t="s">
        <v>287</v>
      </c>
      <c r="B14" s="414" t="s">
        <v>805</v>
      </c>
      <c r="C14" s="354" t="s">
        <v>473</v>
      </c>
      <c r="D14" s="100">
        <v>-2700</v>
      </c>
      <c r="E14" s="100">
        <v>0</v>
      </c>
      <c r="F14" s="100">
        <v>10266</v>
      </c>
      <c r="G14" s="100">
        <v>7432</v>
      </c>
      <c r="H14" s="100">
        <v>-17008</v>
      </c>
      <c r="I14" s="100">
        <v>11171</v>
      </c>
      <c r="J14" s="100">
        <v>6394</v>
      </c>
      <c r="K14" s="100">
        <v>-17135</v>
      </c>
      <c r="L14" s="100">
        <v>681</v>
      </c>
      <c r="M14" s="100">
        <v>3</v>
      </c>
      <c r="N14" s="100">
        <v>-620</v>
      </c>
      <c r="O14" s="100">
        <v>-359</v>
      </c>
      <c r="P14" s="100">
        <v>1331</v>
      </c>
      <c r="Q14" s="100">
        <v>-1201</v>
      </c>
      <c r="R14" s="100">
        <v>-104</v>
      </c>
      <c r="S14" s="100">
        <v>13870</v>
      </c>
      <c r="T14" s="100">
        <v>55585</v>
      </c>
      <c r="U14" s="100">
        <v>47783</v>
      </c>
      <c r="V14" s="100">
        <v>54491</v>
      </c>
      <c r="W14" s="100">
        <v>-113752</v>
      </c>
      <c r="X14" s="100">
        <v>-556</v>
      </c>
      <c r="Y14" s="99"/>
      <c r="Z14" s="64"/>
      <c r="BB14" s="509" t="str">
        <f>CountryCode &amp; ".T3.F3.S13.MNAC." &amp; RefVintage</f>
        <v>HU.T3.F3.S13.MNAC.W.2020</v>
      </c>
    </row>
    <row r="15" spans="1:54" s="18" customFormat="1" ht="16.5" customHeight="1">
      <c r="A15" s="290" t="s">
        <v>288</v>
      </c>
      <c r="B15" s="414" t="s">
        <v>806</v>
      </c>
      <c r="C15" s="354" t="s">
        <v>36</v>
      </c>
      <c r="D15" s="100">
        <v>-17024</v>
      </c>
      <c r="E15" s="100">
        <v>-5662</v>
      </c>
      <c r="F15" s="100">
        <v>68195</v>
      </c>
      <c r="G15" s="100">
        <v>-19074</v>
      </c>
      <c r="H15" s="100">
        <v>-5585</v>
      </c>
      <c r="I15" s="100">
        <v>-55732</v>
      </c>
      <c r="J15" s="100">
        <v>12935</v>
      </c>
      <c r="K15" s="100">
        <v>38521</v>
      </c>
      <c r="L15" s="100">
        <v>-21894</v>
      </c>
      <c r="M15" s="100">
        <v>25889</v>
      </c>
      <c r="N15" s="100">
        <v>78864</v>
      </c>
      <c r="O15" s="100">
        <v>-46636</v>
      </c>
      <c r="P15" s="100">
        <v>-132370</v>
      </c>
      <c r="Q15" s="100">
        <v>21959</v>
      </c>
      <c r="R15" s="100">
        <v>521533</v>
      </c>
      <c r="S15" s="100">
        <v>-243047</v>
      </c>
      <c r="T15" s="100">
        <v>-158323</v>
      </c>
      <c r="U15" s="100">
        <v>-60164</v>
      </c>
      <c r="V15" s="100">
        <v>86556</v>
      </c>
      <c r="W15" s="100">
        <v>187862</v>
      </c>
      <c r="X15" s="100">
        <v>289623</v>
      </c>
      <c r="Y15" s="99"/>
      <c r="Z15" s="64"/>
      <c r="BB15" s="509" t="str">
        <f>CountryCode &amp; ".T3.F4.S13.MNAC." &amp; RefVintage</f>
        <v>HU.T3.F4.S13.MNAC.W.2020</v>
      </c>
    </row>
    <row r="16" spans="1:54" s="18" customFormat="1" ht="16.5" customHeight="1">
      <c r="A16" s="290" t="s">
        <v>289</v>
      </c>
      <c r="B16" s="414" t="s">
        <v>807</v>
      </c>
      <c r="C16" s="355" t="s">
        <v>85</v>
      </c>
      <c r="D16" s="101" t="s">
        <v>1147</v>
      </c>
      <c r="E16" s="102" t="s">
        <v>1147</v>
      </c>
      <c r="F16" s="102" t="s">
        <v>1147</v>
      </c>
      <c r="G16" s="102" t="s">
        <v>1147</v>
      </c>
      <c r="H16" s="102" t="s">
        <v>1147</v>
      </c>
      <c r="I16" s="102" t="s">
        <v>1147</v>
      </c>
      <c r="J16" s="102" t="s">
        <v>1147</v>
      </c>
      <c r="K16" s="102" t="s">
        <v>1147</v>
      </c>
      <c r="L16" s="102" t="s">
        <v>1147</v>
      </c>
      <c r="M16" s="102" t="s">
        <v>1147</v>
      </c>
      <c r="N16" s="102" t="s">
        <v>1147</v>
      </c>
      <c r="O16" s="102" t="s">
        <v>1147</v>
      </c>
      <c r="P16" s="102" t="s">
        <v>1147</v>
      </c>
      <c r="Q16" s="102" t="s">
        <v>1147</v>
      </c>
      <c r="R16" s="102" t="s">
        <v>1147</v>
      </c>
      <c r="S16" s="102" t="s">
        <v>1147</v>
      </c>
      <c r="T16" s="102" t="s">
        <v>1147</v>
      </c>
      <c r="U16" s="102" t="s">
        <v>1147</v>
      </c>
      <c r="V16" s="102" t="s">
        <v>1147</v>
      </c>
      <c r="W16" s="102" t="s">
        <v>1147</v>
      </c>
      <c r="X16" s="102" t="s">
        <v>1147</v>
      </c>
      <c r="Y16" s="99"/>
      <c r="Z16" s="64"/>
      <c r="BB16" s="509" t="str">
        <f>CountryCode &amp; ".T3.F4ACQ.S13.MNAC." &amp; RefVintage</f>
        <v>HU.T3.F4ACQ.S13.MNAC.W.2020</v>
      </c>
    </row>
    <row r="17" spans="1:54" s="18" customFormat="1" ht="16.5" customHeight="1">
      <c r="A17" s="290" t="s">
        <v>290</v>
      </c>
      <c r="B17" s="414" t="s">
        <v>808</v>
      </c>
      <c r="C17" s="355" t="s">
        <v>86</v>
      </c>
      <c r="D17" s="103" t="s">
        <v>1147</v>
      </c>
      <c r="E17" s="104" t="s">
        <v>1147</v>
      </c>
      <c r="F17" s="104" t="s">
        <v>1147</v>
      </c>
      <c r="G17" s="104" t="s">
        <v>1147</v>
      </c>
      <c r="H17" s="104" t="s">
        <v>1147</v>
      </c>
      <c r="I17" s="104" t="s">
        <v>1147</v>
      </c>
      <c r="J17" s="104" t="s">
        <v>1147</v>
      </c>
      <c r="K17" s="104" t="s">
        <v>1147</v>
      </c>
      <c r="L17" s="104" t="s">
        <v>1147</v>
      </c>
      <c r="M17" s="104" t="s">
        <v>1147</v>
      </c>
      <c r="N17" s="104" t="s">
        <v>1147</v>
      </c>
      <c r="O17" s="104" t="s">
        <v>1147</v>
      </c>
      <c r="P17" s="104" t="s">
        <v>1147</v>
      </c>
      <c r="Q17" s="104" t="s">
        <v>1147</v>
      </c>
      <c r="R17" s="104" t="s">
        <v>1147</v>
      </c>
      <c r="S17" s="104" t="s">
        <v>1147</v>
      </c>
      <c r="T17" s="104" t="s">
        <v>1147</v>
      </c>
      <c r="U17" s="104" t="s">
        <v>1147</v>
      </c>
      <c r="V17" s="104" t="s">
        <v>1147</v>
      </c>
      <c r="W17" s="104" t="s">
        <v>1147</v>
      </c>
      <c r="X17" s="104" t="s">
        <v>1147</v>
      </c>
      <c r="Y17" s="99"/>
      <c r="Z17" s="64"/>
      <c r="BB17" s="509" t="str">
        <f>CountryCode &amp; ".T3.F4DIS.S13.MNAC." &amp; RefVintage</f>
        <v>HU.T3.F4DIS.S13.MNAC.W.2020</v>
      </c>
    </row>
    <row r="18" spans="1:54" s="18" customFormat="1" ht="16.5" customHeight="1">
      <c r="A18" s="290" t="s">
        <v>291</v>
      </c>
      <c r="B18" s="414" t="s">
        <v>809</v>
      </c>
      <c r="C18" s="356" t="s">
        <v>445</v>
      </c>
      <c r="D18" s="100">
        <v>381</v>
      </c>
      <c r="E18" s="100">
        <v>1739</v>
      </c>
      <c r="F18" s="100">
        <v>36404</v>
      </c>
      <c r="G18" s="100">
        <v>-27500</v>
      </c>
      <c r="H18" s="100">
        <v>-7582</v>
      </c>
      <c r="I18" s="100">
        <v>1765</v>
      </c>
      <c r="J18" s="100">
        <v>880</v>
      </c>
      <c r="K18" s="100">
        <v>8534</v>
      </c>
      <c r="L18" s="100">
        <v>123</v>
      </c>
      <c r="M18" s="100">
        <v>-1453</v>
      </c>
      <c r="N18" s="100">
        <v>-7159</v>
      </c>
      <c r="O18" s="100">
        <v>2792</v>
      </c>
      <c r="P18" s="100">
        <v>4611</v>
      </c>
      <c r="Q18" s="100">
        <v>-10878</v>
      </c>
      <c r="R18" s="100">
        <v>643</v>
      </c>
      <c r="S18" s="100">
        <v>-3861</v>
      </c>
      <c r="T18" s="100">
        <v>-242</v>
      </c>
      <c r="U18" s="100">
        <v>-269</v>
      </c>
      <c r="V18" s="100">
        <v>3829</v>
      </c>
      <c r="W18" s="100">
        <v>13534</v>
      </c>
      <c r="X18" s="100">
        <v>-18211</v>
      </c>
      <c r="Y18" s="99"/>
      <c r="Z18" s="64"/>
      <c r="BB18" s="509" t="str">
        <f>CountryCode &amp; ".T3.F41.S13.MNAC." &amp; RefVintage</f>
        <v>HU.T3.F41.S13.MNAC.W.2020</v>
      </c>
    </row>
    <row r="19" spans="1:54" s="18" customFormat="1" ht="16.5" customHeight="1">
      <c r="A19" s="290" t="s">
        <v>292</v>
      </c>
      <c r="B19" s="414" t="s">
        <v>810</v>
      </c>
      <c r="C19" s="356" t="s">
        <v>446</v>
      </c>
      <c r="D19" s="100">
        <v>-17405</v>
      </c>
      <c r="E19" s="100">
        <v>-7401</v>
      </c>
      <c r="F19" s="100">
        <v>31791</v>
      </c>
      <c r="G19" s="100">
        <v>8426</v>
      </c>
      <c r="H19" s="100">
        <v>1997</v>
      </c>
      <c r="I19" s="100">
        <v>-57497</v>
      </c>
      <c r="J19" s="100">
        <v>12055</v>
      </c>
      <c r="K19" s="100">
        <v>29987</v>
      </c>
      <c r="L19" s="100">
        <v>-22017</v>
      </c>
      <c r="M19" s="100">
        <v>27342</v>
      </c>
      <c r="N19" s="100">
        <v>86023</v>
      </c>
      <c r="O19" s="100">
        <v>-49428</v>
      </c>
      <c r="P19" s="100">
        <v>-136981</v>
      </c>
      <c r="Q19" s="100">
        <v>32837</v>
      </c>
      <c r="R19" s="100">
        <v>520890</v>
      </c>
      <c r="S19" s="100">
        <v>-239186</v>
      </c>
      <c r="T19" s="100">
        <v>-158081</v>
      </c>
      <c r="U19" s="100">
        <v>-59895</v>
      </c>
      <c r="V19" s="100">
        <v>82727</v>
      </c>
      <c r="W19" s="100">
        <v>174328</v>
      </c>
      <c r="X19" s="100">
        <v>307834</v>
      </c>
      <c r="Y19" s="99"/>
      <c r="Z19" s="64"/>
      <c r="BB19" s="509" t="str">
        <f>CountryCode &amp; ".T3.F42.S13.MNAC." &amp; RefVintage</f>
        <v>HU.T3.F42.S13.MNAC.W.2020</v>
      </c>
    </row>
    <row r="20" spans="1:54" s="18" customFormat="1" ht="16.5" customHeight="1">
      <c r="A20" s="290" t="s">
        <v>293</v>
      </c>
      <c r="B20" s="414" t="s">
        <v>811</v>
      </c>
      <c r="C20" s="357" t="s">
        <v>447</v>
      </c>
      <c r="D20" s="105" t="s">
        <v>1147</v>
      </c>
      <c r="E20" s="106" t="s">
        <v>1147</v>
      </c>
      <c r="F20" s="106" t="s">
        <v>1147</v>
      </c>
      <c r="G20" s="106" t="s">
        <v>1147</v>
      </c>
      <c r="H20" s="106" t="s">
        <v>1147</v>
      </c>
      <c r="I20" s="106" t="s">
        <v>1147</v>
      </c>
      <c r="J20" s="106" t="s">
        <v>1147</v>
      </c>
      <c r="K20" s="106" t="s">
        <v>1147</v>
      </c>
      <c r="L20" s="106" t="s">
        <v>1147</v>
      </c>
      <c r="M20" s="106" t="s">
        <v>1147</v>
      </c>
      <c r="N20" s="106" t="s">
        <v>1147</v>
      </c>
      <c r="O20" s="106" t="s">
        <v>1147</v>
      </c>
      <c r="P20" s="106" t="s">
        <v>1147</v>
      </c>
      <c r="Q20" s="106" t="s">
        <v>1147</v>
      </c>
      <c r="R20" s="106" t="s">
        <v>1147</v>
      </c>
      <c r="S20" s="106" t="s">
        <v>1147</v>
      </c>
      <c r="T20" s="106" t="s">
        <v>1147</v>
      </c>
      <c r="U20" s="106" t="s">
        <v>1147</v>
      </c>
      <c r="V20" s="106" t="s">
        <v>1147</v>
      </c>
      <c r="W20" s="106" t="s">
        <v>1147</v>
      </c>
      <c r="X20" s="106" t="s">
        <v>1147</v>
      </c>
      <c r="Y20" s="99"/>
      <c r="Z20" s="64"/>
      <c r="BB20" s="509" t="str">
        <f>CountryCode &amp; ".T3.F42ACQ.S13.MNAC." &amp; RefVintage</f>
        <v>HU.T3.F42ACQ.S13.MNAC.W.2020</v>
      </c>
    </row>
    <row r="21" spans="1:54" s="18" customFormat="1" ht="16.5" customHeight="1">
      <c r="A21" s="290" t="s">
        <v>294</v>
      </c>
      <c r="B21" s="414" t="s">
        <v>812</v>
      </c>
      <c r="C21" s="357" t="s">
        <v>448</v>
      </c>
      <c r="D21" s="107" t="s">
        <v>1147</v>
      </c>
      <c r="E21" s="108" t="s">
        <v>1147</v>
      </c>
      <c r="F21" s="108" t="s">
        <v>1147</v>
      </c>
      <c r="G21" s="108" t="s">
        <v>1147</v>
      </c>
      <c r="H21" s="108" t="s">
        <v>1147</v>
      </c>
      <c r="I21" s="108" t="s">
        <v>1147</v>
      </c>
      <c r="J21" s="108" t="s">
        <v>1147</v>
      </c>
      <c r="K21" s="108" t="s">
        <v>1147</v>
      </c>
      <c r="L21" s="108" t="s">
        <v>1147</v>
      </c>
      <c r="M21" s="108" t="s">
        <v>1147</v>
      </c>
      <c r="N21" s="108" t="s">
        <v>1147</v>
      </c>
      <c r="O21" s="108" t="s">
        <v>1147</v>
      </c>
      <c r="P21" s="108" t="s">
        <v>1147</v>
      </c>
      <c r="Q21" s="108" t="s">
        <v>1147</v>
      </c>
      <c r="R21" s="108" t="s">
        <v>1147</v>
      </c>
      <c r="S21" s="108" t="s">
        <v>1147</v>
      </c>
      <c r="T21" s="108" t="s">
        <v>1147</v>
      </c>
      <c r="U21" s="108" t="s">
        <v>1147</v>
      </c>
      <c r="V21" s="108" t="s">
        <v>1147</v>
      </c>
      <c r="W21" s="108" t="s">
        <v>1147</v>
      </c>
      <c r="X21" s="108" t="s">
        <v>1147</v>
      </c>
      <c r="Y21" s="99"/>
      <c r="Z21" s="64"/>
      <c r="BB21" s="509" t="str">
        <f>CountryCode &amp; ".T3.F42DIS.S13.MNAC." &amp; RefVintage</f>
        <v>HU.T3.F42DIS.S13.MNAC.W.2020</v>
      </c>
    </row>
    <row r="22" spans="1:54" s="18" customFormat="1" ht="16.5" customHeight="1">
      <c r="A22" s="290" t="s">
        <v>295</v>
      </c>
      <c r="B22" s="414" t="s">
        <v>813</v>
      </c>
      <c r="C22" s="354" t="s">
        <v>474</v>
      </c>
      <c r="D22" s="100">
        <v>164641</v>
      </c>
      <c r="E22" s="100">
        <v>51020</v>
      </c>
      <c r="F22" s="100">
        <v>-433943</v>
      </c>
      <c r="G22" s="100">
        <v>-91312</v>
      </c>
      <c r="H22" s="100">
        <v>-175520</v>
      </c>
      <c r="I22" s="100">
        <v>-25596</v>
      </c>
      <c r="J22" s="100">
        <v>220882</v>
      </c>
      <c r="K22" s="100">
        <v>163304</v>
      </c>
      <c r="L22" s="100">
        <v>-108588</v>
      </c>
      <c r="M22" s="100">
        <v>-109077</v>
      </c>
      <c r="N22" s="100">
        <v>-518821</v>
      </c>
      <c r="O22" s="100">
        <v>-280923</v>
      </c>
      <c r="P22" s="100">
        <v>-71081</v>
      </c>
      <c r="Q22" s="100">
        <v>-162981</v>
      </c>
      <c r="R22" s="100">
        <v>25307</v>
      </c>
      <c r="S22" s="100">
        <v>-1789</v>
      </c>
      <c r="T22" s="100">
        <v>1211450</v>
      </c>
      <c r="U22" s="100">
        <v>-212375</v>
      </c>
      <c r="V22" s="100">
        <v>-98895</v>
      </c>
      <c r="W22" s="100">
        <v>115889</v>
      </c>
      <c r="X22" s="100">
        <v>111897</v>
      </c>
      <c r="Y22" s="99"/>
      <c r="Z22" s="64"/>
      <c r="BB22" s="509" t="str">
        <f>CountryCode &amp; ".T3.F5.S13.MNAC." &amp; RefVintage</f>
        <v>HU.T3.F5.S13.MNAC.W.2020</v>
      </c>
    </row>
    <row r="23" spans="1:54" s="18" customFormat="1" ht="16.5" customHeight="1">
      <c r="A23" s="290" t="s">
        <v>296</v>
      </c>
      <c r="B23" s="414" t="s">
        <v>814</v>
      </c>
      <c r="C23" s="356" t="s">
        <v>449</v>
      </c>
      <c r="D23" s="100">
        <v>0</v>
      </c>
      <c r="E23" s="100">
        <v>2090</v>
      </c>
      <c r="F23" s="100">
        <v>432</v>
      </c>
      <c r="G23" s="100">
        <v>1797</v>
      </c>
      <c r="H23" s="100">
        <v>1281</v>
      </c>
      <c r="I23" s="100">
        <v>4766</v>
      </c>
      <c r="J23" s="100">
        <v>6967</v>
      </c>
      <c r="K23" s="100">
        <v>-185</v>
      </c>
      <c r="L23" s="100">
        <v>-2301</v>
      </c>
      <c r="M23" s="100">
        <v>2854</v>
      </c>
      <c r="N23" s="100">
        <v>-773</v>
      </c>
      <c r="O23" s="100">
        <v>-5505</v>
      </c>
      <c r="P23" s="100">
        <v>3380</v>
      </c>
      <c r="Q23" s="100">
        <v>-3832</v>
      </c>
      <c r="R23" s="100">
        <v>1018</v>
      </c>
      <c r="S23" s="100">
        <v>-1541</v>
      </c>
      <c r="T23" s="100">
        <v>691015</v>
      </c>
      <c r="U23" s="100">
        <v>-191954</v>
      </c>
      <c r="V23" s="100">
        <v>-235648</v>
      </c>
      <c r="W23" s="100">
        <v>240</v>
      </c>
      <c r="X23" s="100">
        <v>-78188</v>
      </c>
      <c r="Y23" s="99"/>
      <c r="Z23" s="64"/>
      <c r="BB23" s="509" t="str">
        <f>CountryCode &amp; ".T3.F5PN.S13.MNAC." &amp; RefVintage</f>
        <v>HU.T3.F5PN.S13.MNAC.W.2020</v>
      </c>
    </row>
    <row r="24" spans="1:54" s="18" customFormat="1" ht="16.5" customHeight="1">
      <c r="A24" s="290" t="s">
        <v>297</v>
      </c>
      <c r="B24" s="414" t="s">
        <v>815</v>
      </c>
      <c r="C24" s="356" t="s">
        <v>475</v>
      </c>
      <c r="D24" s="100">
        <v>164641</v>
      </c>
      <c r="E24" s="100">
        <v>48930</v>
      </c>
      <c r="F24" s="100">
        <v>-434375</v>
      </c>
      <c r="G24" s="100">
        <v>-93109</v>
      </c>
      <c r="H24" s="100">
        <v>-176801</v>
      </c>
      <c r="I24" s="100">
        <v>-30362</v>
      </c>
      <c r="J24" s="100">
        <v>213915</v>
      </c>
      <c r="K24" s="100">
        <v>163489</v>
      </c>
      <c r="L24" s="100">
        <v>-106287</v>
      </c>
      <c r="M24" s="100">
        <v>-111931</v>
      </c>
      <c r="N24" s="100">
        <v>-518048</v>
      </c>
      <c r="O24" s="100">
        <v>-275418</v>
      </c>
      <c r="P24" s="100">
        <v>-74461</v>
      </c>
      <c r="Q24" s="100">
        <v>-159149</v>
      </c>
      <c r="R24" s="100">
        <v>24289</v>
      </c>
      <c r="S24" s="100">
        <v>-248</v>
      </c>
      <c r="T24" s="100">
        <v>520435</v>
      </c>
      <c r="U24" s="100">
        <v>-20421</v>
      </c>
      <c r="V24" s="100">
        <v>136753</v>
      </c>
      <c r="W24" s="100">
        <v>115649</v>
      </c>
      <c r="X24" s="100">
        <v>190085</v>
      </c>
      <c r="Y24" s="99"/>
      <c r="Z24" s="64"/>
      <c r="BB24" s="509" t="str">
        <f>CountryCode &amp; ".T3.F5OP.S13.MNAC." &amp; RefVintage</f>
        <v>HU.T3.F5OP.S13.MNAC.W.2020</v>
      </c>
    </row>
    <row r="25" spans="1:54" s="18" customFormat="1" ht="16.5" customHeight="1">
      <c r="A25" s="290" t="s">
        <v>298</v>
      </c>
      <c r="B25" s="414" t="s">
        <v>816</v>
      </c>
      <c r="C25" s="357" t="s">
        <v>447</v>
      </c>
      <c r="D25" s="109">
        <v>261955</v>
      </c>
      <c r="E25" s="110">
        <v>281359</v>
      </c>
      <c r="F25" s="110">
        <v>18100</v>
      </c>
      <c r="G25" s="110">
        <v>56678</v>
      </c>
      <c r="H25" s="110">
        <v>27503</v>
      </c>
      <c r="I25" s="110">
        <v>68463</v>
      </c>
      <c r="J25" s="110">
        <v>296777</v>
      </c>
      <c r="K25" s="110">
        <v>263114</v>
      </c>
      <c r="L25" s="110">
        <v>22400</v>
      </c>
      <c r="M25" s="110">
        <v>24570</v>
      </c>
      <c r="N25" s="110">
        <v>38650</v>
      </c>
      <c r="O25" s="110">
        <v>47076</v>
      </c>
      <c r="P25" s="110">
        <v>33203</v>
      </c>
      <c r="Q25" s="110">
        <v>30744</v>
      </c>
      <c r="R25" s="110">
        <v>47750.5</v>
      </c>
      <c r="S25" s="110">
        <v>38693.43361</v>
      </c>
      <c r="T25" s="110">
        <v>559433.65711000003</v>
      </c>
      <c r="U25" s="110">
        <v>29559.273840000002</v>
      </c>
      <c r="V25" s="110">
        <v>169649.81787</v>
      </c>
      <c r="W25" s="110">
        <v>202513.50620999999</v>
      </c>
      <c r="X25" s="110">
        <v>230830.3045</v>
      </c>
      <c r="Y25" s="99"/>
      <c r="Z25" s="64"/>
      <c r="BB25" s="509" t="str">
        <f>CountryCode &amp; ".T3.F5OPACQ.S13.MNAC." &amp; RefVintage</f>
        <v>HU.T3.F5OPACQ.S13.MNAC.W.2020</v>
      </c>
    </row>
    <row r="26" spans="1:54" s="18" customFormat="1" ht="16.5" customHeight="1" thickBot="1">
      <c r="A26" s="290" t="s">
        <v>299</v>
      </c>
      <c r="B26" s="414" t="s">
        <v>817</v>
      </c>
      <c r="C26" s="357" t="s">
        <v>448</v>
      </c>
      <c r="D26" s="109">
        <v>-97314</v>
      </c>
      <c r="E26" s="110">
        <v>-232429</v>
      </c>
      <c r="F26" s="110">
        <v>-452475</v>
      </c>
      <c r="G26" s="110">
        <v>-149787</v>
      </c>
      <c r="H26" s="110">
        <v>-204304</v>
      </c>
      <c r="I26" s="110">
        <v>-98825</v>
      </c>
      <c r="J26" s="110">
        <v>-82862</v>
      </c>
      <c r="K26" s="110">
        <v>-99625</v>
      </c>
      <c r="L26" s="110">
        <v>-128687</v>
      </c>
      <c r="M26" s="110">
        <v>-136501</v>
      </c>
      <c r="N26" s="110">
        <v>-556698</v>
      </c>
      <c r="O26" s="110">
        <v>-322494</v>
      </c>
      <c r="P26" s="110">
        <v>-107664</v>
      </c>
      <c r="Q26" s="110">
        <v>-189893</v>
      </c>
      <c r="R26" s="110">
        <v>-23461.5</v>
      </c>
      <c r="S26" s="110">
        <v>-38941.43361</v>
      </c>
      <c r="T26" s="110">
        <v>-38998.65711</v>
      </c>
      <c r="U26" s="110">
        <v>-49980.273840000002</v>
      </c>
      <c r="V26" s="110">
        <v>-32896.817869999999</v>
      </c>
      <c r="W26" s="110">
        <v>-86864.506209999992</v>
      </c>
      <c r="X26" s="110">
        <v>-40745.304499999998</v>
      </c>
      <c r="Y26" s="99"/>
      <c r="Z26" s="64"/>
      <c r="BB26" s="509" t="str">
        <f>CountryCode &amp; ".T3.F5OPDIS.S13.MNAC." &amp; RefVintage</f>
        <v>HU.T3.F5OPDIS.S13.MNAC.W.2020</v>
      </c>
    </row>
    <row r="27" spans="1:54" s="18" customFormat="1" ht="16.5" customHeight="1">
      <c r="A27" s="347" t="s">
        <v>490</v>
      </c>
      <c r="B27" s="425" t="s">
        <v>818</v>
      </c>
      <c r="C27" s="354" t="s">
        <v>460</v>
      </c>
      <c r="D27" s="100">
        <v>0</v>
      </c>
      <c r="E27" s="100">
        <v>0</v>
      </c>
      <c r="F27" s="100">
        <v>-393</v>
      </c>
      <c r="G27" s="100">
        <v>-796</v>
      </c>
      <c r="H27" s="100">
        <v>-116997</v>
      </c>
      <c r="I27" s="100">
        <v>-103942</v>
      </c>
      <c r="J27" s="100">
        <v>-53544</v>
      </c>
      <c r="K27" s="100">
        <v>-62217</v>
      </c>
      <c r="L27" s="100">
        <v>297</v>
      </c>
      <c r="M27" s="100">
        <v>-14574</v>
      </c>
      <c r="N27" s="100">
        <v>-18193</v>
      </c>
      <c r="O27" s="100">
        <v>-21035</v>
      </c>
      <c r="P27" s="100">
        <v>-14498</v>
      </c>
      <c r="Q27" s="100">
        <v>-14005</v>
      </c>
      <c r="R27" s="100">
        <v>-120511</v>
      </c>
      <c r="S27" s="100">
        <v>-85220</v>
      </c>
      <c r="T27" s="100">
        <v>-74233</v>
      </c>
      <c r="U27" s="100">
        <v>-130418</v>
      </c>
      <c r="V27" s="100">
        <v>-115472</v>
      </c>
      <c r="W27" s="100">
        <v>-99951</v>
      </c>
      <c r="X27" s="100">
        <v>-273927</v>
      </c>
      <c r="Y27" s="99"/>
      <c r="Z27" s="64"/>
      <c r="BB27" s="509" t="str">
        <f>CountryCode &amp; ".T3.F71.S13.MNAC." &amp; RefVintage</f>
        <v>HU.T3.F71.S13.MNAC.W.2020</v>
      </c>
    </row>
    <row r="28" spans="1:54" s="18" customFormat="1" ht="16.5" customHeight="1" thickBot="1">
      <c r="A28" s="348" t="s">
        <v>491</v>
      </c>
      <c r="B28" s="425" t="s">
        <v>819</v>
      </c>
      <c r="C28" s="354" t="s">
        <v>462</v>
      </c>
      <c r="D28" s="100">
        <v>27853</v>
      </c>
      <c r="E28" s="100">
        <v>31905</v>
      </c>
      <c r="F28" s="100">
        <v>96956</v>
      </c>
      <c r="G28" s="100">
        <v>20991</v>
      </c>
      <c r="H28" s="100">
        <v>117687</v>
      </c>
      <c r="I28" s="100">
        <v>27513</v>
      </c>
      <c r="J28" s="100">
        <v>47812</v>
      </c>
      <c r="K28" s="100">
        <v>129356</v>
      </c>
      <c r="L28" s="100">
        <v>39985</v>
      </c>
      <c r="M28" s="100">
        <v>177300</v>
      </c>
      <c r="N28" s="100">
        <v>61937</v>
      </c>
      <c r="O28" s="100">
        <v>73425</v>
      </c>
      <c r="P28" s="100">
        <v>71227</v>
      </c>
      <c r="Q28" s="100">
        <v>35846</v>
      </c>
      <c r="R28" s="100">
        <v>144605</v>
      </c>
      <c r="S28" s="100">
        <v>46369</v>
      </c>
      <c r="T28" s="100">
        <v>6512</v>
      </c>
      <c r="U28" s="100">
        <v>-18593</v>
      </c>
      <c r="V28" s="100">
        <v>301201</v>
      </c>
      <c r="W28" s="100">
        <v>121844</v>
      </c>
      <c r="X28" s="100">
        <v>539390</v>
      </c>
      <c r="Y28" s="99"/>
      <c r="Z28" s="64"/>
      <c r="BB28" s="509" t="str">
        <f>CountryCode &amp; ".T3.F8.S13.MNAC." &amp; RefVintage</f>
        <v>HU.T3.F8.S13.MNAC.W.2020</v>
      </c>
    </row>
    <row r="29" spans="1:54" s="18" customFormat="1" ht="16.5" customHeight="1">
      <c r="A29" s="290" t="s">
        <v>300</v>
      </c>
      <c r="B29" s="414" t="s">
        <v>820</v>
      </c>
      <c r="C29" s="354" t="s">
        <v>465</v>
      </c>
      <c r="D29" s="100">
        <v>92</v>
      </c>
      <c r="E29" s="100">
        <v>74</v>
      </c>
      <c r="F29" s="100">
        <v>74</v>
      </c>
      <c r="G29" s="100">
        <v>142</v>
      </c>
      <c r="H29" s="100">
        <v>6</v>
      </c>
      <c r="I29" s="100">
        <v>50</v>
      </c>
      <c r="J29" s="100">
        <v>132</v>
      </c>
      <c r="K29" s="100">
        <v>122</v>
      </c>
      <c r="L29" s="100">
        <v>136</v>
      </c>
      <c r="M29" s="100">
        <v>506</v>
      </c>
      <c r="N29" s="100">
        <v>684</v>
      </c>
      <c r="O29" s="100">
        <v>14</v>
      </c>
      <c r="P29" s="100">
        <v>-180</v>
      </c>
      <c r="Q29" s="100">
        <v>76</v>
      </c>
      <c r="R29" s="100">
        <v>-14</v>
      </c>
      <c r="S29" s="100">
        <v>-148</v>
      </c>
      <c r="T29" s="100">
        <v>-72</v>
      </c>
      <c r="U29" s="100">
        <v>190</v>
      </c>
      <c r="V29" s="100">
        <v>-410</v>
      </c>
      <c r="W29" s="100">
        <v>-74</v>
      </c>
      <c r="X29" s="100">
        <v>-46</v>
      </c>
      <c r="Y29" s="99"/>
      <c r="Z29" s="64"/>
      <c r="BB29" s="509" t="str">
        <f>CountryCode &amp; ".T3.OFA.S13.MNAC." &amp; RefVintage</f>
        <v>HU.T3.OFA.S13.MNAC.W.2020</v>
      </c>
    </row>
    <row r="30" spans="1:54" s="18" customFormat="1" ht="16.5" customHeight="1">
      <c r="A30" s="290"/>
      <c r="B30" s="153"/>
      <c r="C30" s="358"/>
      <c r="D30" s="111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4"/>
      <c r="X30" s="114"/>
      <c r="Y30" s="99"/>
      <c r="Z30" s="64"/>
      <c r="BB30" s="509"/>
    </row>
    <row r="31" spans="1:54" s="18" customFormat="1" ht="16.5" customHeight="1">
      <c r="A31" s="290" t="s">
        <v>301</v>
      </c>
      <c r="B31" s="414" t="s">
        <v>821</v>
      </c>
      <c r="C31" s="359" t="s">
        <v>183</v>
      </c>
      <c r="D31" s="362">
        <f t="shared" ref="D31:Q31" si="19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87014.999999999534</v>
      </c>
      <c r="E31" s="362">
        <f t="shared" si="19"/>
        <v>-62913.999999999534</v>
      </c>
      <c r="F31" s="362">
        <f t="shared" si="19"/>
        <v>185449.99999999948</v>
      </c>
      <c r="G31" s="362">
        <f t="shared" si="19"/>
        <v>204046.00000000093</v>
      </c>
      <c r="H31" s="362">
        <f t="shared" si="19"/>
        <v>178302.99999999965</v>
      </c>
      <c r="I31" s="362">
        <f t="shared" si="19"/>
        <v>225282.99999999994</v>
      </c>
      <c r="J31" s="362">
        <f t="shared" si="19"/>
        <v>-464141.00000000035</v>
      </c>
      <c r="K31" s="362">
        <f t="shared" si="19"/>
        <v>115607.00000000099</v>
      </c>
      <c r="L31" s="362">
        <f t="shared" si="19"/>
        <v>86675.999999999942</v>
      </c>
      <c r="M31" s="362">
        <f t="shared" si="19"/>
        <v>-503304.00000000146</v>
      </c>
      <c r="N31" s="362">
        <f t="shared" si="19"/>
        <v>-59586.999999999272</v>
      </c>
      <c r="O31" s="362">
        <f t="shared" si="19"/>
        <v>-98156.99999999936</v>
      </c>
      <c r="P31" s="362">
        <f t="shared" si="19"/>
        <v>-129517.0000000018</v>
      </c>
      <c r="Q31" s="362">
        <f t="shared" si="19"/>
        <v>351601.99999999948</v>
      </c>
      <c r="R31" s="362">
        <f t="shared" ref="R31:S31" si="20">IF(AND(R32="0",R33="0",R34="0",R36="0",R37="0",R38="0",R40="0",R41="0",R42="0"),0,IF(AND(R32="M",R33="M",R34="M",R36="M",R37="M",R38="M",R40="M",R41="M",R42="M"),"M",IF(AND(R32="L",R33="L",R34="L",R36="L",R37="L",R38="L",R40="L",R41="L",R42="L"),"L",IF(AND(ISTEXT(R32),ISTEXT(R33),ISTEXT(R34),ISTEXT(R36),ISTEXT(R37),ISTEXT(R38),ISTEXT(R40),ISTEXT(R41),ISTEXT(R42)),"M",SUM(R32:R34)+SUM(R36:R38)+SUM(R40:R42)))))</f>
        <v>-25810.999999996828</v>
      </c>
      <c r="S31" s="362">
        <f t="shared" si="20"/>
        <v>529850.99999999977</v>
      </c>
      <c r="T31" s="362">
        <f t="shared" ref="T31:V31" si="21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-1755844.9999999995</v>
      </c>
      <c r="U31" s="362">
        <f t="shared" si="21"/>
        <v>-698460.00000000198</v>
      </c>
      <c r="V31" s="362">
        <f t="shared" si="21"/>
        <v>151608.00000000116</v>
      </c>
      <c r="W31" s="362">
        <f t="shared" ref="W31:X31" si="22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370940.99999999959</v>
      </c>
      <c r="X31" s="362">
        <f t="shared" si="22"/>
        <v>380098.99999999779</v>
      </c>
      <c r="Y31" s="99"/>
      <c r="Z31" s="64"/>
      <c r="BB31" s="509" t="str">
        <f>CountryCode &amp; ".T3.ADJ.S13.MNAC." &amp; RefVintage</f>
        <v>HU.T3.ADJ.S13.MNAC.W.2020</v>
      </c>
    </row>
    <row r="32" spans="1:54" s="18" customFormat="1" ht="16.5" customHeight="1" thickBot="1">
      <c r="A32" s="290" t="s">
        <v>302</v>
      </c>
      <c r="B32" s="414" t="s">
        <v>822</v>
      </c>
      <c r="C32" s="354" t="s">
        <v>476</v>
      </c>
      <c r="D32" s="100">
        <v>0</v>
      </c>
      <c r="E32" s="100">
        <v>0</v>
      </c>
      <c r="F32" s="100">
        <v>666</v>
      </c>
      <c r="G32" s="100">
        <v>3317</v>
      </c>
      <c r="H32" s="100">
        <v>136801</v>
      </c>
      <c r="I32" s="100">
        <v>95954</v>
      </c>
      <c r="J32" s="100">
        <v>66428</v>
      </c>
      <c r="K32" s="100">
        <v>51337</v>
      </c>
      <c r="L32" s="100">
        <v>35829</v>
      </c>
      <c r="M32" s="100">
        <v>39288</v>
      </c>
      <c r="N32" s="100">
        <v>29802</v>
      </c>
      <c r="O32" s="100">
        <v>32900</v>
      </c>
      <c r="P32" s="100">
        <v>34160</v>
      </c>
      <c r="Q32" s="100">
        <v>28645</v>
      </c>
      <c r="R32" s="100">
        <v>293484</v>
      </c>
      <c r="S32" s="100">
        <v>25088</v>
      </c>
      <c r="T32" s="100">
        <v>27593</v>
      </c>
      <c r="U32" s="100">
        <v>18620</v>
      </c>
      <c r="V32" s="100">
        <v>35241</v>
      </c>
      <c r="W32" s="100">
        <v>67399</v>
      </c>
      <c r="X32" s="100">
        <v>22191</v>
      </c>
      <c r="Y32" s="99"/>
      <c r="Z32" s="64"/>
      <c r="BB32" s="509" t="str">
        <f>CountryCode &amp; ".T3.LIA.S13.MNAC." &amp; RefVintage</f>
        <v>HU.T3.LIA.S13.MNAC.W.2020</v>
      </c>
    </row>
    <row r="33" spans="1:54" s="18" customFormat="1" ht="16.5" customHeight="1" thickBot="1">
      <c r="A33" s="272" t="s">
        <v>492</v>
      </c>
      <c r="B33" s="425" t="s">
        <v>823</v>
      </c>
      <c r="C33" s="354" t="s">
        <v>463</v>
      </c>
      <c r="D33" s="100">
        <v>960</v>
      </c>
      <c r="E33" s="100">
        <v>-26245</v>
      </c>
      <c r="F33" s="100">
        <v>-62039</v>
      </c>
      <c r="G33" s="100">
        <v>-66533</v>
      </c>
      <c r="H33" s="100">
        <v>-68417</v>
      </c>
      <c r="I33" s="100">
        <v>-23397</v>
      </c>
      <c r="J33" s="100">
        <v>-367350</v>
      </c>
      <c r="K33" s="100">
        <v>147877</v>
      </c>
      <c r="L33" s="100">
        <v>-206031</v>
      </c>
      <c r="M33" s="100">
        <v>-289159</v>
      </c>
      <c r="N33" s="100">
        <v>-117048</v>
      </c>
      <c r="O33" s="100">
        <v>-125450</v>
      </c>
      <c r="P33" s="100">
        <v>-88761</v>
      </c>
      <c r="Q33" s="100">
        <v>66887</v>
      </c>
      <c r="R33" s="100">
        <v>-320077</v>
      </c>
      <c r="S33" s="100">
        <v>25116</v>
      </c>
      <c r="T33" s="100">
        <v>-3171752</v>
      </c>
      <c r="U33" s="100">
        <v>-1047</v>
      </c>
      <c r="V33" s="100">
        <v>-114537</v>
      </c>
      <c r="W33" s="100">
        <v>-224930</v>
      </c>
      <c r="X33" s="100">
        <v>235764</v>
      </c>
      <c r="Y33" s="99"/>
      <c r="Z33" s="64"/>
      <c r="BB33" s="509" t="str">
        <f>CountryCode &amp; ".T3.OAP.S13.MNAC." &amp; RefVintage</f>
        <v>HU.T3.OAP.S13.MNAC.W.2020</v>
      </c>
    </row>
    <row r="34" spans="1:54" s="18" customFormat="1" ht="16.5" customHeight="1">
      <c r="A34" s="290" t="s">
        <v>303</v>
      </c>
      <c r="B34" s="414" t="s">
        <v>824</v>
      </c>
      <c r="C34" s="354" t="s">
        <v>477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0">
        <v>0</v>
      </c>
      <c r="K34" s="100">
        <v>-1618</v>
      </c>
      <c r="L34" s="100">
        <v>-3394</v>
      </c>
      <c r="M34" s="100">
        <v>-981</v>
      </c>
      <c r="N34" s="100">
        <v>-7900</v>
      </c>
      <c r="O34" s="100">
        <v>-16091.999999999998</v>
      </c>
      <c r="P34" s="100">
        <v>-9459</v>
      </c>
      <c r="Q34" s="100">
        <v>-989</v>
      </c>
      <c r="R34" s="100">
        <v>53</v>
      </c>
      <c r="S34" s="100">
        <v>6491</v>
      </c>
      <c r="T34" s="100">
        <v>1010.9999999999999</v>
      </c>
      <c r="U34" s="100">
        <v>3214</v>
      </c>
      <c r="V34" s="100">
        <v>6963</v>
      </c>
      <c r="W34" s="100">
        <v>1765</v>
      </c>
      <c r="X34" s="100">
        <v>522</v>
      </c>
      <c r="Y34" s="99"/>
      <c r="Z34" s="64"/>
      <c r="BB34" s="509" t="str">
        <f>CountryCode &amp; ".T3.OLIA.S13.MNAC." &amp; RefVintage</f>
        <v>HU.T3.OLIA.S13.MNAC.W.2020</v>
      </c>
    </row>
    <row r="35" spans="1:54" s="18" customFormat="1" ht="16.5" customHeight="1">
      <c r="A35" s="290"/>
      <c r="B35" s="153"/>
      <c r="C35" s="360"/>
      <c r="D35" s="113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99"/>
      <c r="Z35" s="64"/>
      <c r="BB35" s="509"/>
    </row>
    <row r="36" spans="1:54" s="18" customFormat="1" ht="16.5" customHeight="1">
      <c r="A36" s="290" t="s">
        <v>304</v>
      </c>
      <c r="B36" s="414" t="s">
        <v>825</v>
      </c>
      <c r="C36" s="354" t="s">
        <v>66</v>
      </c>
      <c r="D36" s="100">
        <v>32695.890459734925</v>
      </c>
      <c r="E36" s="100">
        <v>37421.000064396823</v>
      </c>
      <c r="F36" s="100">
        <v>-10459.604967092331</v>
      </c>
      <c r="G36" s="100">
        <v>2865.1185862605644</v>
      </c>
      <c r="H36" s="100">
        <v>-4167.753982390991</v>
      </c>
      <c r="I36" s="100">
        <v>-25073.598291800976</v>
      </c>
      <c r="J36" s="100">
        <v>12616.262094486956</v>
      </c>
      <c r="K36" s="100">
        <v>60005.441971853768</v>
      </c>
      <c r="L36" s="100">
        <v>58253.99870812623</v>
      </c>
      <c r="M36" s="100">
        <v>79381.430857535408</v>
      </c>
      <c r="N36" s="100">
        <v>-63807.047560254432</v>
      </c>
      <c r="O36" s="100">
        <v>100505.23826055496</v>
      </c>
      <c r="P36" s="100">
        <v>-4791.2668489966563</v>
      </c>
      <c r="Q36" s="100">
        <v>99194.254960756545</v>
      </c>
      <c r="R36" s="100">
        <v>-9686.1024564868785</v>
      </c>
      <c r="S36" s="100">
        <v>-24306.202655274319</v>
      </c>
      <c r="T36" s="100">
        <v>2122.0000000012078</v>
      </c>
      <c r="U36" s="100">
        <v>18800.999999999476</v>
      </c>
      <c r="V36" s="100">
        <v>-50567.000000000007</v>
      </c>
      <c r="W36" s="100">
        <v>-316628.99999999959</v>
      </c>
      <c r="X36" s="100">
        <v>-172335.99999999997</v>
      </c>
      <c r="Y36" s="99"/>
      <c r="Z36" s="64"/>
      <c r="BB36" s="509" t="str">
        <f>CountryCode &amp; ".T3.ISS_A.S13.MNAC." &amp; RefVintage</f>
        <v>HU.T3.ISS_A.S13.MNAC.W.2020</v>
      </c>
    </row>
    <row r="37" spans="1:54" s="18" customFormat="1" ht="16.5" customHeight="1">
      <c r="A37" s="290" t="s">
        <v>305</v>
      </c>
      <c r="B37" s="414" t="s">
        <v>826</v>
      </c>
      <c r="C37" s="354" t="s">
        <v>478</v>
      </c>
      <c r="D37" s="100">
        <v>-32616.999999999982</v>
      </c>
      <c r="E37" s="100">
        <v>-102230</v>
      </c>
      <c r="F37" s="100">
        <v>-12053.892657222241</v>
      </c>
      <c r="G37" s="100">
        <v>-14554.048785347235</v>
      </c>
      <c r="H37" s="100">
        <v>14823.973056523506</v>
      </c>
      <c r="I37" s="100">
        <v>37485.957254142253</v>
      </c>
      <c r="J37" s="100">
        <v>-1674.7929302006903</v>
      </c>
      <c r="K37" s="100">
        <v>-30973.97740417263</v>
      </c>
      <c r="L37" s="100">
        <v>-44466.589294996025</v>
      </c>
      <c r="M37" s="100">
        <v>-118002.45742518643</v>
      </c>
      <c r="N37" s="100">
        <v>-30060.709025922355</v>
      </c>
      <c r="O37" s="100">
        <v>-65487.026946775331</v>
      </c>
      <c r="P37" s="100">
        <v>-43631.83324388395</v>
      </c>
      <c r="Q37" s="100">
        <v>-56808.486791450385</v>
      </c>
      <c r="R37" s="100">
        <v>-4582.4381545134802</v>
      </c>
      <c r="S37" s="100">
        <v>-16319.838859194711</v>
      </c>
      <c r="T37" s="100">
        <v>1396.8039321779427</v>
      </c>
      <c r="U37" s="100">
        <v>-31831.576480937481</v>
      </c>
      <c r="V37" s="100">
        <v>20995.183948660233</v>
      </c>
      <c r="W37" s="100">
        <v>146235.32971682004</v>
      </c>
      <c r="X37" s="100">
        <v>70545.547930169982</v>
      </c>
      <c r="Y37" s="99"/>
      <c r="Z37" s="64"/>
      <c r="BB37" s="509" t="str">
        <f>CountryCode &amp; ".T3.D41_A.S13.MNAC." &amp; RefVintage</f>
        <v>HU.T3.D41_A.S13.MNAC.W.2020</v>
      </c>
    </row>
    <row r="38" spans="1:54" s="191" customFormat="1" ht="16.5" customHeight="1">
      <c r="A38" s="290" t="s">
        <v>306</v>
      </c>
      <c r="B38" s="414" t="s">
        <v>827</v>
      </c>
      <c r="C38" s="361" t="s">
        <v>479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800</v>
      </c>
      <c r="K38" s="100">
        <v>700</v>
      </c>
      <c r="L38" s="100">
        <v>200</v>
      </c>
      <c r="M38" s="100">
        <v>-3100</v>
      </c>
      <c r="N38" s="100">
        <v>600</v>
      </c>
      <c r="O38" s="100">
        <v>-460</v>
      </c>
      <c r="P38" s="100">
        <v>-1217</v>
      </c>
      <c r="Q38" s="100">
        <v>-6236</v>
      </c>
      <c r="R38" s="100">
        <v>-43667</v>
      </c>
      <c r="S38" s="100">
        <v>2282.8423509999998</v>
      </c>
      <c r="T38" s="100">
        <v>2641.7199390000001</v>
      </c>
      <c r="U38" s="100">
        <v>-316.82495600000004</v>
      </c>
      <c r="V38" s="100">
        <v>18299.852350999998</v>
      </c>
      <c r="W38" s="100">
        <v>76129.038169999956</v>
      </c>
      <c r="X38" s="100">
        <v>99876.091973000017</v>
      </c>
      <c r="Y38" s="99"/>
      <c r="Z38" s="64"/>
      <c r="BB38" s="510" t="str">
        <f>CountryCode &amp; ".T3.RED_A.S13.MNAC." &amp; RefVintage</f>
        <v>HU.T3.RED_A.S13.MNAC.W.2020</v>
      </c>
    </row>
    <row r="39" spans="1:54" s="18" customFormat="1" ht="16.5" customHeight="1">
      <c r="A39" s="290"/>
      <c r="B39" s="153"/>
      <c r="C39" s="360"/>
      <c r="D39" s="113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99"/>
      <c r="Z39" s="64"/>
      <c r="BB39" s="509"/>
    </row>
    <row r="40" spans="1:54" s="18" customFormat="1" ht="16.5" customHeight="1">
      <c r="A40" s="290" t="s">
        <v>307</v>
      </c>
      <c r="B40" s="414" t="s">
        <v>828</v>
      </c>
      <c r="C40" s="354" t="s">
        <v>95</v>
      </c>
      <c r="D40" s="100">
        <v>85976.109540264588</v>
      </c>
      <c r="E40" s="100">
        <v>28139.999935603642</v>
      </c>
      <c r="F40" s="100">
        <v>305133.49762431404</v>
      </c>
      <c r="G40" s="100">
        <v>278950.9301990876</v>
      </c>
      <c r="H40" s="100">
        <v>99262.780925867148</v>
      </c>
      <c r="I40" s="100">
        <v>140313.64103765867</v>
      </c>
      <c r="J40" s="100">
        <v>-174960.46916428662</v>
      </c>
      <c r="K40" s="100">
        <v>-115522.46456768014</v>
      </c>
      <c r="L40" s="100">
        <v>246284.59058686974</v>
      </c>
      <c r="M40" s="100">
        <v>-210730.97343235044</v>
      </c>
      <c r="N40" s="100">
        <v>128826.75658617751</v>
      </c>
      <c r="O40" s="100">
        <v>-24073.211313779</v>
      </c>
      <c r="P40" s="100">
        <v>-14012.899907121202</v>
      </c>
      <c r="Q40" s="100">
        <v>220909.23183069332</v>
      </c>
      <c r="R40" s="100">
        <v>46449.540611003526</v>
      </c>
      <c r="S40" s="100">
        <v>502070.19916346879</v>
      </c>
      <c r="T40" s="100">
        <v>1381142.4761288213</v>
      </c>
      <c r="U40" s="100">
        <v>-705899.59856306401</v>
      </c>
      <c r="V40" s="100">
        <v>235212.96370034094</v>
      </c>
      <c r="W40" s="100">
        <v>559222.63211317919</v>
      </c>
      <c r="X40" s="100">
        <v>114430.36009682773</v>
      </c>
      <c r="Y40" s="99"/>
      <c r="Z40" s="64"/>
      <c r="BB40" s="509" t="str">
        <f>CountryCode &amp; ".T3.FREV_A.S13.MNAC." &amp; RefVintage</f>
        <v>HU.T3.FREV_A.S13.MNAC.W.2020</v>
      </c>
    </row>
    <row r="41" spans="1:54" s="18" customFormat="1" ht="16.5" customHeight="1">
      <c r="A41" s="290" t="s">
        <v>517</v>
      </c>
      <c r="B41" s="414" t="s">
        <v>829</v>
      </c>
      <c r="C41" s="354" t="s">
        <v>480</v>
      </c>
      <c r="D41" s="100">
        <v>0</v>
      </c>
      <c r="E41" s="100">
        <v>0</v>
      </c>
      <c r="F41" s="100">
        <v>-35797</v>
      </c>
      <c r="G41" s="100">
        <v>0</v>
      </c>
      <c r="H41" s="100">
        <v>0</v>
      </c>
      <c r="I41" s="100">
        <v>0</v>
      </c>
      <c r="J41" s="100">
        <v>0</v>
      </c>
      <c r="K41" s="100">
        <v>3801.9999999999995</v>
      </c>
      <c r="L41" s="100">
        <v>0</v>
      </c>
      <c r="M41" s="100">
        <v>0</v>
      </c>
      <c r="N41" s="100">
        <v>0</v>
      </c>
      <c r="O41" s="100">
        <v>0</v>
      </c>
      <c r="P41" s="100">
        <v>-1804</v>
      </c>
      <c r="Q41" s="100">
        <v>0</v>
      </c>
      <c r="R41" s="100">
        <v>12215</v>
      </c>
      <c r="S41" s="100">
        <v>9429</v>
      </c>
      <c r="T41" s="100">
        <v>0</v>
      </c>
      <c r="U41" s="100">
        <v>0</v>
      </c>
      <c r="V41" s="100">
        <v>0</v>
      </c>
      <c r="W41" s="100">
        <v>61749</v>
      </c>
      <c r="X41" s="100">
        <v>9106</v>
      </c>
      <c r="Y41" s="99"/>
      <c r="Z41" s="64"/>
      <c r="BB41" s="509" t="str">
        <f>CountryCode &amp; ".T3.K61.S13.MNAC." &amp; RefVintage</f>
        <v>HU.T3.K61.S13.MNAC.W.2020</v>
      </c>
    </row>
    <row r="42" spans="1:54" s="18" customFormat="1" ht="16.5" customHeight="1">
      <c r="A42" s="290" t="s">
        <v>308</v>
      </c>
      <c r="B42" s="414" t="s">
        <v>830</v>
      </c>
      <c r="C42" s="354" t="s">
        <v>481</v>
      </c>
      <c r="D42" s="100">
        <v>0</v>
      </c>
      <c r="E42" s="100">
        <v>0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100">
        <v>0</v>
      </c>
      <c r="L42" s="100">
        <v>0</v>
      </c>
      <c r="M42" s="100">
        <v>0</v>
      </c>
      <c r="N42" s="100">
        <v>0</v>
      </c>
      <c r="O42" s="100">
        <v>0</v>
      </c>
      <c r="P42" s="100">
        <v>0</v>
      </c>
      <c r="Q42" s="100">
        <v>0</v>
      </c>
      <c r="R42" s="100">
        <v>0</v>
      </c>
      <c r="S42" s="100">
        <v>0</v>
      </c>
      <c r="T42" s="100">
        <v>0</v>
      </c>
      <c r="U42" s="100">
        <v>0</v>
      </c>
      <c r="V42" s="100">
        <v>0</v>
      </c>
      <c r="W42" s="100">
        <v>0</v>
      </c>
      <c r="X42" s="100">
        <v>0</v>
      </c>
      <c r="Y42" s="99"/>
      <c r="Z42" s="64"/>
      <c r="BB42" s="509" t="str">
        <f>CountryCode &amp; ".T3.OCVO_A.S13.MNAC." &amp; RefVintage</f>
        <v>HU.T3.OCVO_A.S13.MNAC.W.2020</v>
      </c>
    </row>
    <row r="43" spans="1:54" s="18" customFormat="1" ht="16.5" customHeight="1">
      <c r="A43" s="290"/>
      <c r="B43" s="153"/>
      <c r="C43" s="360"/>
      <c r="D43" s="113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99"/>
      <c r="Z43" s="64"/>
      <c r="BB43" s="509"/>
    </row>
    <row r="44" spans="1:54" s="18" customFormat="1" ht="16.5" customHeight="1">
      <c r="A44" s="290" t="s">
        <v>309</v>
      </c>
      <c r="B44" s="414" t="s">
        <v>831</v>
      </c>
      <c r="C44" s="359" t="s">
        <v>64</v>
      </c>
      <c r="D44" s="100">
        <v>49336.658999999985</v>
      </c>
      <c r="E44" s="100">
        <v>41728</v>
      </c>
      <c r="F44" s="100">
        <v>44688.160000000091</v>
      </c>
      <c r="G44" s="100">
        <v>69209.390909090755</v>
      </c>
      <c r="H44" s="100">
        <v>-58502.000000000015</v>
      </c>
      <c r="I44" s="100">
        <v>195.99700000014855</v>
      </c>
      <c r="J44" s="100">
        <v>-5919</v>
      </c>
      <c r="K44" s="100">
        <v>44275.000000000175</v>
      </c>
      <c r="L44" s="100">
        <v>29815.999999999825</v>
      </c>
      <c r="M44" s="100">
        <v>31055.000000000058</v>
      </c>
      <c r="N44" s="100">
        <v>27484.384615384479</v>
      </c>
      <c r="O44" s="100">
        <v>-7070.9999999997017</v>
      </c>
      <c r="P44" s="100">
        <v>-50987.000000000058</v>
      </c>
      <c r="Q44" s="100">
        <v>-67308.999999999942</v>
      </c>
      <c r="R44" s="100">
        <v>-373.99999999990541</v>
      </c>
      <c r="S44" s="100">
        <v>22922.999999999884</v>
      </c>
      <c r="T44" s="100">
        <v>-13491.999999999767</v>
      </c>
      <c r="U44" s="100">
        <v>55713.761999999871</v>
      </c>
      <c r="V44" s="100">
        <v>-13091.500000000029</v>
      </c>
      <c r="W44" s="100">
        <v>948.10979900055099</v>
      </c>
      <c r="X44" s="100">
        <v>-94535.176564000401</v>
      </c>
      <c r="Y44" s="99"/>
      <c r="Z44" s="64"/>
      <c r="BB44" s="509" t="str">
        <f>CountryCode &amp; ".T3.SD.S13.MNAC." &amp; RefVintage</f>
        <v>HU.T3.SD.S13.MNAC.W.2020</v>
      </c>
    </row>
    <row r="45" spans="1:54" s="18" customFormat="1" ht="16.5" customHeight="1">
      <c r="A45" s="290" t="s">
        <v>310</v>
      </c>
      <c r="B45" s="414" t="s">
        <v>832</v>
      </c>
      <c r="C45" s="354" t="s">
        <v>73</v>
      </c>
      <c r="D45" s="100">
        <v>49336.658999999985</v>
      </c>
      <c r="E45" s="100">
        <v>41728</v>
      </c>
      <c r="F45" s="100">
        <v>44688.160000000091</v>
      </c>
      <c r="G45" s="100">
        <v>69209.390909090755</v>
      </c>
      <c r="H45" s="100">
        <v>-58502.000000000015</v>
      </c>
      <c r="I45" s="100">
        <v>195.99700000014855</v>
      </c>
      <c r="J45" s="100">
        <v>-5919</v>
      </c>
      <c r="K45" s="100">
        <v>44275.000000000175</v>
      </c>
      <c r="L45" s="100">
        <v>29815.999999999825</v>
      </c>
      <c r="M45" s="100">
        <v>31055.000000000058</v>
      </c>
      <c r="N45" s="100">
        <v>27484.384615384479</v>
      </c>
      <c r="O45" s="100">
        <v>-7070.9999999997017</v>
      </c>
      <c r="P45" s="100">
        <v>-50987.000000000058</v>
      </c>
      <c r="Q45" s="100">
        <v>-67308.999999999942</v>
      </c>
      <c r="R45" s="100">
        <v>-373.99999999990541</v>
      </c>
      <c r="S45" s="100">
        <v>22922.999999999884</v>
      </c>
      <c r="T45" s="100">
        <v>-13491.999999999767</v>
      </c>
      <c r="U45" s="100">
        <v>55713.761999999871</v>
      </c>
      <c r="V45" s="100">
        <v>-13091.500000000029</v>
      </c>
      <c r="W45" s="100">
        <v>948.10979900055099</v>
      </c>
      <c r="X45" s="100">
        <v>-94535.176564000401</v>
      </c>
      <c r="Y45" s="99"/>
      <c r="Z45" s="64"/>
      <c r="BB45" s="509" t="str">
        <f>CountryCode &amp; ".T3.B9_SD.S13.MNAC." &amp; RefVintage</f>
        <v>HU.T3.B9_SD.S13.MNAC.W.2020</v>
      </c>
    </row>
    <row r="46" spans="1:54" s="18" customFormat="1" ht="16.5" customHeight="1">
      <c r="A46" s="290" t="s">
        <v>311</v>
      </c>
      <c r="B46" s="414" t="s">
        <v>833</v>
      </c>
      <c r="C46" s="354" t="s">
        <v>63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0">
        <v>0</v>
      </c>
      <c r="R46" s="100">
        <v>0</v>
      </c>
      <c r="S46" s="100">
        <v>0</v>
      </c>
      <c r="T46" s="100">
        <v>0</v>
      </c>
      <c r="U46" s="100">
        <v>0</v>
      </c>
      <c r="V46" s="100">
        <v>0</v>
      </c>
      <c r="W46" s="100">
        <v>0</v>
      </c>
      <c r="X46" s="100">
        <v>0</v>
      </c>
      <c r="Y46" s="99"/>
      <c r="Z46" s="64"/>
      <c r="BB46" s="509" t="str">
        <f>CountryCode &amp; ".T3.OSD.S13.MNAC." &amp; RefVintage</f>
        <v>HU.T3.OSD.S13.MNAC.W.2020</v>
      </c>
    </row>
    <row r="47" spans="1:54" s="18" customFormat="1" ht="11.25" customHeight="1" thickBot="1">
      <c r="A47" s="290"/>
      <c r="B47" s="153"/>
      <c r="C47" s="358"/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7"/>
      <c r="Z47" s="64"/>
      <c r="BB47" s="509"/>
    </row>
    <row r="48" spans="1:54" s="18" customFormat="1" ht="20.25" customHeight="1" thickTop="1" thickBot="1">
      <c r="A48" s="290" t="s">
        <v>312</v>
      </c>
      <c r="B48" s="426" t="s">
        <v>834</v>
      </c>
      <c r="C48" s="312" t="s">
        <v>98</v>
      </c>
      <c r="D48" s="89">
        <v>1001584.9999999995</v>
      </c>
      <c r="E48" s="89">
        <v>176846.00000000047</v>
      </c>
      <c r="F48" s="89">
        <v>418693.99999999953</v>
      </c>
      <c r="G48" s="89">
        <v>813303.00000000081</v>
      </c>
      <c r="H48" s="89">
        <v>709631.99999999965</v>
      </c>
      <c r="I48" s="89">
        <v>392759</v>
      </c>
      <c r="J48" s="89">
        <v>624118.99999999965</v>
      </c>
      <c r="K48" s="89">
        <v>1643291.0000000012</v>
      </c>
      <c r="L48" s="89">
        <v>1426801.9999999998</v>
      </c>
      <c r="M48" s="89">
        <v>1306296.9999999986</v>
      </c>
      <c r="N48" s="89">
        <v>1251369.0000000007</v>
      </c>
      <c r="O48" s="89">
        <v>2010871.0000000009</v>
      </c>
      <c r="P48" s="89">
        <v>1188918.9999999981</v>
      </c>
      <c r="Q48" s="89">
        <v>2679836.9999999995</v>
      </c>
      <c r="R48" s="89">
        <v>1141016.0000000033</v>
      </c>
      <c r="S48" s="89">
        <v>1295123.9999999998</v>
      </c>
      <c r="T48" s="89">
        <v>937234.00000000035</v>
      </c>
      <c r="U48" s="89">
        <v>-264867.00000000198</v>
      </c>
      <c r="V48" s="486">
        <v>768970.00000000116</v>
      </c>
      <c r="W48" s="486">
        <v>1678159.9999999998</v>
      </c>
      <c r="X48" s="486">
        <v>1380452.9999999977</v>
      </c>
      <c r="Y48" s="6"/>
      <c r="Z48" s="64"/>
      <c r="BB48" s="509" t="str">
        <f>CountryCode &amp; ".T3.CHDEBT.S13.MNAC." &amp; RefVintage</f>
        <v>HU.T3.CHDEBT.S13.MNAC.W.2020</v>
      </c>
    </row>
    <row r="49" spans="1:54" s="18" customFormat="1" ht="9" customHeight="1" thickTop="1" thickBot="1">
      <c r="A49" s="151"/>
      <c r="B49" s="153"/>
      <c r="C49" s="173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4"/>
      <c r="BB49" s="509"/>
    </row>
    <row r="50" spans="1:54" ht="20.25" thickTop="1" thickBot="1">
      <c r="A50" s="151"/>
      <c r="B50" s="210"/>
      <c r="C50" s="349" t="s">
        <v>585</v>
      </c>
      <c r="D50" s="350"/>
      <c r="E50" s="350"/>
      <c r="F50" s="350"/>
      <c r="G50" s="350"/>
      <c r="H50" s="350"/>
      <c r="I50" s="350"/>
      <c r="J50" s="350"/>
      <c r="K50" s="350"/>
      <c r="L50" s="350"/>
      <c r="M50" s="350"/>
      <c r="N50" s="350"/>
      <c r="O50" s="350"/>
      <c r="P50" s="350"/>
      <c r="Q50" s="350"/>
      <c r="R50" s="350"/>
      <c r="S50" s="350"/>
      <c r="T50" s="350"/>
      <c r="U50" s="350"/>
      <c r="V50" s="350"/>
      <c r="W50" s="350"/>
      <c r="X50" s="350"/>
      <c r="Y50" s="351"/>
      <c r="Z50" s="50"/>
      <c r="AB50" s="13"/>
    </row>
    <row r="51" spans="1:54" ht="8.25" customHeight="1" thickTop="1">
      <c r="A51" s="151"/>
      <c r="B51" s="153"/>
      <c r="C51" s="175"/>
      <c r="D51" s="68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50"/>
      <c r="AB51" s="13"/>
    </row>
    <row r="52" spans="1:54" ht="15.75">
      <c r="A52" s="151"/>
      <c r="B52" s="153"/>
      <c r="C52" s="176"/>
      <c r="D52" s="13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50"/>
      <c r="AB52" s="13"/>
    </row>
    <row r="53" spans="1:54" ht="15.75">
      <c r="A53" s="151"/>
      <c r="B53" s="153"/>
      <c r="C53" s="226" t="s">
        <v>96</v>
      </c>
      <c r="D53" s="226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50"/>
      <c r="AB53" s="13"/>
    </row>
    <row r="54" spans="1:54" ht="15.75">
      <c r="A54" s="151"/>
      <c r="B54" s="153"/>
      <c r="C54" s="224" t="s">
        <v>97</v>
      </c>
      <c r="D54" s="226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50"/>
      <c r="AB54" s="13"/>
    </row>
    <row r="55" spans="1:54" ht="18.75" customHeight="1">
      <c r="A55" s="151"/>
      <c r="B55" s="153"/>
      <c r="C55" s="224" t="s">
        <v>464</v>
      </c>
      <c r="D55" s="154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50"/>
      <c r="AB55" s="13"/>
    </row>
    <row r="56" spans="1:54" ht="9.75" customHeight="1" thickBot="1">
      <c r="A56" s="177"/>
      <c r="B56" s="178"/>
      <c r="C56" s="179"/>
      <c r="D56" s="70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2"/>
      <c r="AB56" s="13"/>
    </row>
    <row r="57" spans="1:54" ht="16.5" thickTop="1">
      <c r="B57" s="211"/>
      <c r="C57" s="31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</row>
    <row r="59" spans="1:54" ht="30" customHeight="1">
      <c r="C59" s="323" t="s">
        <v>120</v>
      </c>
      <c r="D59" s="545" t="str">
        <f>IF(COUNTA(D10:W10,D12:W29,D31:W34,D36:W38,D40:W42,D44:W46,D48:W48)/660*100=100,"OK - Table 3A is fully completed","WARNING - Table 3A is not fully completed, please fill in figure, L, M or 0")</f>
        <v>OK - Table 3A is fully completed</v>
      </c>
      <c r="E59" s="545"/>
      <c r="F59" s="545"/>
      <c r="G59" s="545"/>
      <c r="H59" s="545"/>
      <c r="I59" s="545"/>
      <c r="J59" s="545"/>
      <c r="K59" s="545"/>
      <c r="L59" s="545"/>
      <c r="M59" s="545"/>
      <c r="N59" s="545"/>
      <c r="O59" s="545"/>
      <c r="P59" s="545"/>
      <c r="Q59" s="545"/>
      <c r="R59" s="545"/>
      <c r="S59" s="545"/>
      <c r="T59" s="545"/>
      <c r="U59" s="545"/>
      <c r="V59" s="545"/>
      <c r="W59" s="545"/>
      <c r="X59" s="545"/>
      <c r="Y59" s="316"/>
      <c r="Z59" s="195"/>
      <c r="AA59" s="29"/>
    </row>
    <row r="60" spans="1:54">
      <c r="C60" s="196" t="s">
        <v>121</v>
      </c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8"/>
      <c r="AA60" s="29"/>
    </row>
    <row r="61" spans="1:54" ht="15.75">
      <c r="C61" s="317" t="s">
        <v>511</v>
      </c>
      <c r="D61" s="318">
        <f>IF(AND(D48="0",D10="0",D12="0",D31="0",D44="0")=0,IF(AND(D48="L",D10="L",D12="L",D31="L",D44="L")="NC",IF(D48="M",0,D48)-IF(D10="M",0,D10)-IF(D12="M",0,D12)-IF(D31="M",0,D31)-IF(D44="M",0,D44)))</f>
        <v>0</v>
      </c>
      <c r="E61" s="318">
        <f t="shared" ref="E61:S61" si="23">IF(AND(E48="0",E10="0",E12="0",E31="0",E44="0")=0,IF(AND(E48="L",E10="L",E12="L",E31="L",E44="L")="NC",IF(E48="M",0,E48)-IF(E10="M",0,E10)-IF(E12="M",0,E12)-IF(E31="M",0,E31)-IF(E44="M",0,E44)))</f>
        <v>0</v>
      </c>
      <c r="F61" s="318">
        <f t="shared" si="23"/>
        <v>0</v>
      </c>
      <c r="G61" s="318">
        <f t="shared" si="23"/>
        <v>0</v>
      </c>
      <c r="H61" s="318">
        <f t="shared" si="23"/>
        <v>1.4551915228366852E-11</v>
      </c>
      <c r="I61" s="318">
        <f t="shared" si="23"/>
        <v>0</v>
      </c>
      <c r="J61" s="318">
        <f t="shared" si="23"/>
        <v>0</v>
      </c>
      <c r="K61" s="318">
        <f t="shared" si="23"/>
        <v>0</v>
      </c>
      <c r="L61" s="318">
        <f t="shared" si="23"/>
        <v>0</v>
      </c>
      <c r="M61" s="318">
        <f t="shared" si="23"/>
        <v>0</v>
      </c>
      <c r="N61" s="318">
        <f t="shared" si="23"/>
        <v>0</v>
      </c>
      <c r="O61" s="318">
        <f t="shared" si="23"/>
        <v>-7.2759576141834259E-12</v>
      </c>
      <c r="P61" s="318">
        <f t="shared" si="23"/>
        <v>0</v>
      </c>
      <c r="Q61" s="318">
        <f t="shared" si="23"/>
        <v>0</v>
      </c>
      <c r="R61" s="318">
        <f t="shared" si="23"/>
        <v>-7.2759576141834259E-12</v>
      </c>
      <c r="S61" s="318">
        <f t="shared" si="23"/>
        <v>1.1641532182693481E-10</v>
      </c>
      <c r="T61" s="318">
        <f t="shared" ref="T61:V61" si="24">IF(AND(T48="0",T10="0",T12="0",T31="0",T44="0")=0,IF(AND(T48="L",T10="L",T12="L",T31="L",T44="L")="NC",IF(T48="M",0,T48)-IF(T10="M",0,T10)-IF(T12="M",0,T12)-IF(T31="M",0,T31)-IF(T44="M",0,T44)))</f>
        <v>-2.3283064365386963E-10</v>
      </c>
      <c r="U61" s="318">
        <f t="shared" si="24"/>
        <v>1.1641532182693481E-10</v>
      </c>
      <c r="V61" s="318">
        <f t="shared" si="24"/>
        <v>2.9103830456733704E-11</v>
      </c>
      <c r="W61" s="318">
        <f t="shared" ref="W61:X61" si="25">IF(AND(W48="0",W10="0",W12="0",W31="0",W44="0")=0,IF(AND(W48="L",W10="L",W12="L",W31="L",W44="L")="NC",IF(W48="M",0,W48)-IF(W10="M",0,W10)-IF(W12="M",0,W12)-IF(W31="M",0,W31)-IF(W44="M",0,W44)))</f>
        <v>5.8207660913467407E-11</v>
      </c>
      <c r="X61" s="318">
        <f t="shared" si="25"/>
        <v>-2.9103830456733704E-11</v>
      </c>
      <c r="Y61" s="363"/>
      <c r="Z61" s="198"/>
      <c r="AA61" s="29"/>
    </row>
    <row r="62" spans="1:54" ht="15.75">
      <c r="C62" s="317" t="s">
        <v>519</v>
      </c>
      <c r="D62" s="318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2" s="318">
        <f t="shared" ref="E62:S62" si="26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2" s="318">
        <f t="shared" si="26"/>
        <v>0</v>
      </c>
      <c r="G62" s="318">
        <f t="shared" si="26"/>
        <v>0</v>
      </c>
      <c r="H62" s="318">
        <f t="shared" si="26"/>
        <v>0</v>
      </c>
      <c r="I62" s="318">
        <f t="shared" si="26"/>
        <v>0</v>
      </c>
      <c r="J62" s="318">
        <f t="shared" si="26"/>
        <v>0</v>
      </c>
      <c r="K62" s="318">
        <f t="shared" si="26"/>
        <v>0</v>
      </c>
      <c r="L62" s="318">
        <f t="shared" si="26"/>
        <v>0</v>
      </c>
      <c r="M62" s="318">
        <f t="shared" si="26"/>
        <v>0</v>
      </c>
      <c r="N62" s="318">
        <f t="shared" si="26"/>
        <v>0</v>
      </c>
      <c r="O62" s="318">
        <f t="shared" si="26"/>
        <v>0</v>
      </c>
      <c r="P62" s="318">
        <f t="shared" si="26"/>
        <v>0</v>
      </c>
      <c r="Q62" s="318">
        <f t="shared" si="26"/>
        <v>0</v>
      </c>
      <c r="R62" s="318">
        <f t="shared" si="26"/>
        <v>0</v>
      </c>
      <c r="S62" s="318">
        <f t="shared" si="26"/>
        <v>0</v>
      </c>
      <c r="T62" s="318">
        <f t="shared" ref="T62:V62" si="27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2" s="318">
        <f t="shared" si="27"/>
        <v>0</v>
      </c>
      <c r="V62" s="318">
        <f t="shared" si="27"/>
        <v>0</v>
      </c>
      <c r="W62" s="318">
        <f t="shared" ref="W62:X62" si="28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2" s="318">
        <f t="shared" si="28"/>
        <v>0</v>
      </c>
      <c r="Y62" s="363"/>
      <c r="Z62" s="198"/>
      <c r="AA62" s="29"/>
    </row>
    <row r="63" spans="1:54" ht="15.75">
      <c r="C63" s="365" t="s">
        <v>139</v>
      </c>
      <c r="D63" s="318">
        <f>IF(AND(D15="0",D18="0",D19="0"),0,IF(AND(D15="L",D18="L",D19="L"),"NC",IF(D15="M",0,D15)-IF(D18="M",0,D18)-IF(D19="M",0,D19)))</f>
        <v>0</v>
      </c>
      <c r="E63" s="318">
        <f t="shared" ref="E63:S63" si="29">IF(AND(E15="0",E18="0",E19="0"),0,IF(AND(E15="L",E18="L",E19="L"),"NC",IF(E15="M",0,E15)-IF(E18="M",0,E18)-IF(E19="M",0,E19)))</f>
        <v>0</v>
      </c>
      <c r="F63" s="318">
        <f t="shared" si="29"/>
        <v>0</v>
      </c>
      <c r="G63" s="318">
        <f t="shared" si="29"/>
        <v>0</v>
      </c>
      <c r="H63" s="318">
        <f t="shared" si="29"/>
        <v>0</v>
      </c>
      <c r="I63" s="318">
        <f t="shared" si="29"/>
        <v>0</v>
      </c>
      <c r="J63" s="318">
        <f t="shared" si="29"/>
        <v>0</v>
      </c>
      <c r="K63" s="318">
        <f t="shared" si="29"/>
        <v>0</v>
      </c>
      <c r="L63" s="318">
        <f t="shared" si="29"/>
        <v>0</v>
      </c>
      <c r="M63" s="318">
        <f t="shared" si="29"/>
        <v>0</v>
      </c>
      <c r="N63" s="318">
        <f t="shared" si="29"/>
        <v>0</v>
      </c>
      <c r="O63" s="318">
        <f t="shared" si="29"/>
        <v>0</v>
      </c>
      <c r="P63" s="318">
        <f t="shared" si="29"/>
        <v>0</v>
      </c>
      <c r="Q63" s="318">
        <f t="shared" si="29"/>
        <v>0</v>
      </c>
      <c r="R63" s="318">
        <f t="shared" si="29"/>
        <v>0</v>
      </c>
      <c r="S63" s="318">
        <f t="shared" si="29"/>
        <v>0</v>
      </c>
      <c r="T63" s="318">
        <f t="shared" ref="T63:V63" si="30">IF(AND(T15="0",T18="0",T19="0"),0,IF(AND(T15="L",T18="L",T19="L"),"NC",IF(T15="M",0,T15)-IF(T18="M",0,T18)-IF(T19="M",0,T19)))</f>
        <v>0</v>
      </c>
      <c r="U63" s="318">
        <f t="shared" si="30"/>
        <v>0</v>
      </c>
      <c r="V63" s="318">
        <f t="shared" si="30"/>
        <v>0</v>
      </c>
      <c r="W63" s="318">
        <f t="shared" ref="W63:X63" si="31">IF(AND(W15="0",W18="0",W19="0"),0,IF(AND(W15="L",W18="L",W19="L"),"NC",IF(W15="M",0,W15)-IF(W18="M",0,W18)-IF(W19="M",0,W19)))</f>
        <v>0</v>
      </c>
      <c r="X63" s="318">
        <f t="shared" si="31"/>
        <v>0</v>
      </c>
      <c r="Y63" s="363"/>
      <c r="Z63" s="198"/>
      <c r="AA63" s="29"/>
    </row>
    <row r="64" spans="1:54" ht="15.75">
      <c r="C64" s="516" t="s">
        <v>132</v>
      </c>
      <c r="D64" s="318" t="str">
        <f t="shared" ref="D64:S64" si="32">IF(AND(D16="",D17=""),0,IF(AND(D16="L",D17="L"),"NC",IF(D15="M",0,D15)-IF(D16="M",0,D16)-IF(D17="M",0,D17)))</f>
        <v>NC</v>
      </c>
      <c r="E64" s="318" t="str">
        <f t="shared" si="32"/>
        <v>NC</v>
      </c>
      <c r="F64" s="318" t="str">
        <f t="shared" si="32"/>
        <v>NC</v>
      </c>
      <c r="G64" s="318" t="str">
        <f t="shared" si="32"/>
        <v>NC</v>
      </c>
      <c r="H64" s="318" t="str">
        <f t="shared" si="32"/>
        <v>NC</v>
      </c>
      <c r="I64" s="318" t="str">
        <f t="shared" si="32"/>
        <v>NC</v>
      </c>
      <c r="J64" s="318" t="str">
        <f t="shared" si="32"/>
        <v>NC</v>
      </c>
      <c r="K64" s="318" t="str">
        <f t="shared" si="32"/>
        <v>NC</v>
      </c>
      <c r="L64" s="318" t="str">
        <f t="shared" si="32"/>
        <v>NC</v>
      </c>
      <c r="M64" s="318" t="str">
        <f t="shared" si="32"/>
        <v>NC</v>
      </c>
      <c r="N64" s="318" t="str">
        <f t="shared" si="32"/>
        <v>NC</v>
      </c>
      <c r="O64" s="318" t="str">
        <f t="shared" si="32"/>
        <v>NC</v>
      </c>
      <c r="P64" s="318" t="str">
        <f t="shared" si="32"/>
        <v>NC</v>
      </c>
      <c r="Q64" s="318" t="str">
        <f t="shared" si="32"/>
        <v>NC</v>
      </c>
      <c r="R64" s="318" t="str">
        <f t="shared" si="32"/>
        <v>NC</v>
      </c>
      <c r="S64" s="318" t="str">
        <f t="shared" si="32"/>
        <v>NC</v>
      </c>
      <c r="T64" s="318" t="str">
        <f t="shared" ref="T64:V64" si="33">IF(AND(T16="",T17=""),0,IF(AND(T16="L",T17="L"),"NC",IF(T15="M",0,T15)-IF(T16="M",0,T16)-IF(T17="M",0,T17)))</f>
        <v>NC</v>
      </c>
      <c r="U64" s="318" t="str">
        <f t="shared" si="33"/>
        <v>NC</v>
      </c>
      <c r="V64" s="318" t="str">
        <f t="shared" si="33"/>
        <v>NC</v>
      </c>
      <c r="W64" s="318" t="str">
        <f t="shared" ref="W64:X64" si="34">IF(AND(W16="",W17=""),0,IF(AND(W16="L",W17="L"),"NC",IF(W15="M",0,W15)-IF(W16="M",0,W16)-IF(W17="M",0,W17)))</f>
        <v>NC</v>
      </c>
      <c r="X64" s="318" t="str">
        <f t="shared" si="34"/>
        <v>NC</v>
      </c>
      <c r="Y64" s="363"/>
      <c r="Z64" s="198"/>
      <c r="AA64" s="29"/>
    </row>
    <row r="65" spans="1:53" ht="15.75">
      <c r="C65" s="516" t="s">
        <v>137</v>
      </c>
      <c r="D65" s="318" t="str">
        <f t="shared" ref="D65:S65" si="35">IF(AND(D20="",D21=""),0,IF(AND(D20="L",D21="L"),"NC",IF(D19="M",0,D19)-IF(D20="M",0,D20)-IF(D21="M",0,D21)))</f>
        <v>NC</v>
      </c>
      <c r="E65" s="318" t="str">
        <f t="shared" si="35"/>
        <v>NC</v>
      </c>
      <c r="F65" s="318" t="str">
        <f t="shared" si="35"/>
        <v>NC</v>
      </c>
      <c r="G65" s="318" t="str">
        <f t="shared" si="35"/>
        <v>NC</v>
      </c>
      <c r="H65" s="318" t="str">
        <f t="shared" si="35"/>
        <v>NC</v>
      </c>
      <c r="I65" s="318" t="str">
        <f t="shared" si="35"/>
        <v>NC</v>
      </c>
      <c r="J65" s="318" t="str">
        <f t="shared" si="35"/>
        <v>NC</v>
      </c>
      <c r="K65" s="318" t="str">
        <f t="shared" si="35"/>
        <v>NC</v>
      </c>
      <c r="L65" s="318" t="str">
        <f t="shared" si="35"/>
        <v>NC</v>
      </c>
      <c r="M65" s="318" t="str">
        <f t="shared" si="35"/>
        <v>NC</v>
      </c>
      <c r="N65" s="318" t="str">
        <f t="shared" si="35"/>
        <v>NC</v>
      </c>
      <c r="O65" s="318" t="str">
        <f t="shared" si="35"/>
        <v>NC</v>
      </c>
      <c r="P65" s="318" t="str">
        <f t="shared" si="35"/>
        <v>NC</v>
      </c>
      <c r="Q65" s="318" t="str">
        <f t="shared" si="35"/>
        <v>NC</v>
      </c>
      <c r="R65" s="318" t="str">
        <f t="shared" si="35"/>
        <v>NC</v>
      </c>
      <c r="S65" s="318" t="str">
        <f t="shared" si="35"/>
        <v>NC</v>
      </c>
      <c r="T65" s="318" t="str">
        <f t="shared" ref="T65:V65" si="36">IF(AND(T20="",T21=""),0,IF(AND(T20="L",T21="L"),"NC",IF(T19="M",0,T19)-IF(T20="M",0,T20)-IF(T21="M",0,T21)))</f>
        <v>NC</v>
      </c>
      <c r="U65" s="318" t="str">
        <f t="shared" si="36"/>
        <v>NC</v>
      </c>
      <c r="V65" s="318" t="str">
        <f t="shared" si="36"/>
        <v>NC</v>
      </c>
      <c r="W65" s="318" t="str">
        <f t="shared" ref="W65:X65" si="37">IF(AND(W20="",W21=""),0,IF(AND(W20="L",W21="L"),"NC",IF(W19="M",0,W19)-IF(W20="M",0,W20)-IF(W21="M",0,W21)))</f>
        <v>NC</v>
      </c>
      <c r="X65" s="318" t="str">
        <f t="shared" si="37"/>
        <v>NC</v>
      </c>
      <c r="Y65" s="363"/>
      <c r="Z65" s="198"/>
      <c r="AA65" s="29"/>
    </row>
    <row r="66" spans="1:53" ht="15.75">
      <c r="C66" s="516" t="s">
        <v>140</v>
      </c>
      <c r="D66" s="318">
        <f t="shared" ref="D66:S66" si="38">IF(AND(D22="0",D23="0",D24="0"),0,IF(AND(D22="L",D23="L",D24="L"),"NC",IF(D22="M",0,D22)-IF(D23="M",0,D23)-IF(D24="M",0,D24)))</f>
        <v>0</v>
      </c>
      <c r="E66" s="318">
        <f t="shared" si="38"/>
        <v>0</v>
      </c>
      <c r="F66" s="318">
        <f t="shared" si="38"/>
        <v>0</v>
      </c>
      <c r="G66" s="318">
        <f t="shared" si="38"/>
        <v>0</v>
      </c>
      <c r="H66" s="318">
        <f t="shared" si="38"/>
        <v>0</v>
      </c>
      <c r="I66" s="318">
        <f t="shared" si="38"/>
        <v>0</v>
      </c>
      <c r="J66" s="318">
        <f t="shared" si="38"/>
        <v>0</v>
      </c>
      <c r="K66" s="318">
        <f t="shared" si="38"/>
        <v>0</v>
      </c>
      <c r="L66" s="318">
        <f t="shared" si="38"/>
        <v>0</v>
      </c>
      <c r="M66" s="318">
        <f t="shared" si="38"/>
        <v>0</v>
      </c>
      <c r="N66" s="318">
        <f t="shared" si="38"/>
        <v>0</v>
      </c>
      <c r="O66" s="318">
        <f t="shared" si="38"/>
        <v>0</v>
      </c>
      <c r="P66" s="318">
        <f t="shared" si="38"/>
        <v>0</v>
      </c>
      <c r="Q66" s="318">
        <f t="shared" si="38"/>
        <v>0</v>
      </c>
      <c r="R66" s="318">
        <f t="shared" si="38"/>
        <v>0</v>
      </c>
      <c r="S66" s="318">
        <f t="shared" si="38"/>
        <v>0</v>
      </c>
      <c r="T66" s="318">
        <f t="shared" ref="T66:V66" si="39">IF(AND(T22="0",T23="0",T24="0"),0,IF(AND(T22="L",T23="L",T24="L"),"NC",IF(T22="M",0,T22)-IF(T23="M",0,T23)-IF(T24="M",0,T24)))</f>
        <v>0</v>
      </c>
      <c r="U66" s="318">
        <f t="shared" si="39"/>
        <v>0</v>
      </c>
      <c r="V66" s="318">
        <f t="shared" si="39"/>
        <v>0</v>
      </c>
      <c r="W66" s="318">
        <f t="shared" ref="W66:X66" si="40">IF(AND(W22="0",W23="0",W24="0"),0,IF(AND(W22="L",W23="L",W24="L"),"NC",IF(W22="M",0,W22)-IF(W23="M",0,W23)-IF(W24="M",0,W24)))</f>
        <v>0</v>
      </c>
      <c r="X66" s="318">
        <f t="shared" si="40"/>
        <v>0</v>
      </c>
      <c r="Y66" s="363"/>
      <c r="Z66" s="198"/>
      <c r="AA66" s="29"/>
    </row>
    <row r="67" spans="1:53" ht="15.75">
      <c r="C67" s="516" t="s">
        <v>138</v>
      </c>
      <c r="D67" s="318">
        <f t="shared" ref="D67:S67" si="41">IF(AND(D25="",D26=""),0,IF(AND(D25="L",D26="L"),"NC",IF(D24="M",0,D24)-IF(D25="M",0,D25)-IF(D26="M",0,D26)))</f>
        <v>0</v>
      </c>
      <c r="E67" s="318">
        <f t="shared" si="41"/>
        <v>0</v>
      </c>
      <c r="F67" s="318">
        <f t="shared" si="41"/>
        <v>0</v>
      </c>
      <c r="G67" s="318">
        <f t="shared" si="41"/>
        <v>0</v>
      </c>
      <c r="H67" s="318">
        <f t="shared" si="41"/>
        <v>0</v>
      </c>
      <c r="I67" s="318">
        <f t="shared" si="41"/>
        <v>0</v>
      </c>
      <c r="J67" s="318">
        <f t="shared" si="41"/>
        <v>0</v>
      </c>
      <c r="K67" s="318">
        <f t="shared" si="41"/>
        <v>0</v>
      </c>
      <c r="L67" s="318">
        <f t="shared" si="41"/>
        <v>0</v>
      </c>
      <c r="M67" s="318">
        <f t="shared" si="41"/>
        <v>0</v>
      </c>
      <c r="N67" s="318">
        <f t="shared" si="41"/>
        <v>0</v>
      </c>
      <c r="O67" s="318">
        <f t="shared" si="41"/>
        <v>0</v>
      </c>
      <c r="P67" s="318">
        <f t="shared" si="41"/>
        <v>0</v>
      </c>
      <c r="Q67" s="318">
        <f t="shared" si="41"/>
        <v>0</v>
      </c>
      <c r="R67" s="318">
        <f t="shared" si="41"/>
        <v>0</v>
      </c>
      <c r="S67" s="318">
        <f t="shared" si="41"/>
        <v>0</v>
      </c>
      <c r="T67" s="318">
        <f t="shared" ref="T67:V67" si="42">IF(AND(T25="",T26=""),0,IF(AND(T25="L",T26="L"),"NC",IF(T24="M",0,T24)-IF(T25="M",0,T25)-IF(T26="M",0,T26)))</f>
        <v>-2.9103830456733704E-11</v>
      </c>
      <c r="U67" s="318">
        <f t="shared" si="42"/>
        <v>0</v>
      </c>
      <c r="V67" s="318">
        <f t="shared" si="42"/>
        <v>0</v>
      </c>
      <c r="W67" s="318">
        <f t="shared" ref="W67:X67" si="43">IF(AND(W25="",W26=""),0,IF(AND(W25="L",W26="L"),"NC",IF(W24="M",0,W24)-IF(W25="M",0,W25)-IF(W26="M",0,W26)))</f>
        <v>0</v>
      </c>
      <c r="X67" s="318">
        <f t="shared" si="43"/>
        <v>0</v>
      </c>
      <c r="Y67" s="363"/>
      <c r="Z67" s="198"/>
      <c r="AA67" s="29"/>
    </row>
    <row r="68" spans="1:53" ht="23.25">
      <c r="C68" s="516" t="s">
        <v>531</v>
      </c>
      <c r="D68" s="318">
        <f t="shared" ref="D68:S68" si="44"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68" s="318">
        <f t="shared" si="44"/>
        <v>0</v>
      </c>
      <c r="F68" s="318">
        <f t="shared" si="44"/>
        <v>0</v>
      </c>
      <c r="G68" s="318">
        <f t="shared" si="44"/>
        <v>0</v>
      </c>
      <c r="H68" s="318">
        <f t="shared" si="44"/>
        <v>-1.4551915228366852E-11</v>
      </c>
      <c r="I68" s="318">
        <f t="shared" si="44"/>
        <v>0</v>
      </c>
      <c r="J68" s="318">
        <f t="shared" si="44"/>
        <v>0</v>
      </c>
      <c r="K68" s="318">
        <f t="shared" si="44"/>
        <v>-1.4097167877480388E-11</v>
      </c>
      <c r="L68" s="318">
        <f t="shared" si="44"/>
        <v>0</v>
      </c>
      <c r="M68" s="318">
        <f t="shared" si="44"/>
        <v>5.8207660913467407E-11</v>
      </c>
      <c r="N68" s="318">
        <f t="shared" si="44"/>
        <v>0</v>
      </c>
      <c r="O68" s="318">
        <f t="shared" si="44"/>
        <v>7.2759576141834259E-12</v>
      </c>
      <c r="P68" s="318">
        <f t="shared" si="44"/>
        <v>7.2759576141834259E-12</v>
      </c>
      <c r="Q68" s="318">
        <f t="shared" si="44"/>
        <v>0</v>
      </c>
      <c r="R68" s="318">
        <f t="shared" si="44"/>
        <v>-2.1827872842550278E-11</v>
      </c>
      <c r="S68" s="318">
        <f t="shared" si="44"/>
        <v>0</v>
      </c>
      <c r="T68" s="318">
        <f t="shared" ref="T68:V68" si="45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2.3283064365386963E-10</v>
      </c>
      <c r="U68" s="318">
        <f t="shared" si="45"/>
        <v>0</v>
      </c>
      <c r="V68" s="318">
        <f t="shared" si="45"/>
        <v>-2.9103830456733704E-11</v>
      </c>
      <c r="W68" s="318">
        <f t="shared" ref="W68:X68" si="46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-1.1641532182693481E-10</v>
      </c>
      <c r="X68" s="318">
        <f t="shared" si="46"/>
        <v>7.2759576141834259E-11</v>
      </c>
      <c r="Y68" s="363"/>
      <c r="Z68" s="198"/>
      <c r="AA68" s="29"/>
    </row>
    <row r="69" spans="1:53" ht="15.75">
      <c r="C69" s="516" t="s">
        <v>133</v>
      </c>
      <c r="D69" s="318">
        <f t="shared" ref="D69:S69" si="47">IF(AND(D44="0",D45="0",D46="0"),0,IF(AND(D44="L",D45="L",D46="L"),"NC",IF(D44="M",0,D44)-IF(D45="M",0,D45)-IF(D46="M",0,D46)))</f>
        <v>0</v>
      </c>
      <c r="E69" s="318">
        <f t="shared" si="47"/>
        <v>0</v>
      </c>
      <c r="F69" s="318">
        <f t="shared" si="47"/>
        <v>0</v>
      </c>
      <c r="G69" s="318">
        <f t="shared" si="47"/>
        <v>0</v>
      </c>
      <c r="H69" s="318">
        <f t="shared" si="47"/>
        <v>0</v>
      </c>
      <c r="I69" s="318">
        <f t="shared" si="47"/>
        <v>0</v>
      </c>
      <c r="J69" s="318">
        <f t="shared" si="47"/>
        <v>0</v>
      </c>
      <c r="K69" s="318">
        <f t="shared" si="47"/>
        <v>0</v>
      </c>
      <c r="L69" s="318">
        <f t="shared" si="47"/>
        <v>0</v>
      </c>
      <c r="M69" s="318">
        <f t="shared" si="47"/>
        <v>0</v>
      </c>
      <c r="N69" s="318">
        <f t="shared" si="47"/>
        <v>0</v>
      </c>
      <c r="O69" s="318">
        <f t="shared" si="47"/>
        <v>0</v>
      </c>
      <c r="P69" s="318">
        <f t="shared" si="47"/>
        <v>0</v>
      </c>
      <c r="Q69" s="318">
        <f t="shared" si="47"/>
        <v>0</v>
      </c>
      <c r="R69" s="318">
        <f t="shared" si="47"/>
        <v>0</v>
      </c>
      <c r="S69" s="318">
        <f t="shared" si="47"/>
        <v>0</v>
      </c>
      <c r="T69" s="318">
        <f t="shared" ref="T69:V69" si="48">IF(AND(T44="0",T45="0",T46="0"),0,IF(AND(T44="L",T45="L",T46="L"),"NC",IF(T44="M",0,T44)-IF(T45="M",0,T45)-IF(T46="M",0,T46)))</f>
        <v>0</v>
      </c>
      <c r="U69" s="318">
        <f t="shared" si="48"/>
        <v>0</v>
      </c>
      <c r="V69" s="318">
        <f t="shared" si="48"/>
        <v>0</v>
      </c>
      <c r="W69" s="318">
        <f t="shared" ref="W69:X69" si="49">IF(AND(W44="0",W45="0",W46="0"),0,IF(AND(W44="L",W45="L",W46="L"),"NC",IF(W44="M",0,W44)-IF(W45="M",0,W45)-IF(W46="M",0,W46)))</f>
        <v>0</v>
      </c>
      <c r="X69" s="318">
        <f t="shared" si="49"/>
        <v>0</v>
      </c>
      <c r="Y69" s="197"/>
      <c r="Z69" s="198"/>
    </row>
    <row r="70" spans="1:53" ht="15.75">
      <c r="C70" s="517" t="s">
        <v>127</v>
      </c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197"/>
      <c r="Z70" s="198"/>
    </row>
    <row r="71" spans="1:53" ht="15.75">
      <c r="C71" s="516" t="s">
        <v>134</v>
      </c>
      <c r="D71" s="200">
        <f>IF(AND('Table 1'!E10="0",'Table 3A'!D10="0"),0,IF(AND('Table 1'!E10="L",'Table 3A'!D10="L"),"NC",IF('Table 1'!E10="M",0,'Table 1'!E10)+IF('Table 3A'!D10="M",0,'Table 3A'!D10)))</f>
        <v>0</v>
      </c>
      <c r="E71" s="200">
        <f>IF(AND('Table 1'!F10="0",'Table 3A'!E10="0"),0,IF(AND('Table 1'!F10="L",'Table 3A'!E10="L"),"NC",IF('Table 1'!F10="M",0,'Table 1'!F10)+IF('Table 3A'!E10="M",0,'Table 3A'!E10)))</f>
        <v>0</v>
      </c>
      <c r="F71" s="200">
        <f>IF(AND('Table 1'!G10="0",'Table 3A'!F10="0"),0,IF(AND('Table 1'!G10="L",'Table 3A'!F10="L"),"NC",IF('Table 1'!G10="M",0,'Table 1'!G10)+IF('Table 3A'!F10="M",0,'Table 3A'!F10)))</f>
        <v>0</v>
      </c>
      <c r="G71" s="200">
        <f>IF(AND('Table 1'!H10="0",'Table 3A'!G10="0"),0,IF(AND('Table 1'!H10="L",'Table 3A'!G10="L"),"NC",IF('Table 1'!H10="M",0,'Table 1'!H10)+IF('Table 3A'!G10="M",0,'Table 3A'!G10)))</f>
        <v>0</v>
      </c>
      <c r="H71" s="200">
        <f>IF(AND('Table 1'!I10="0",'Table 3A'!H10="0"),0,IF(AND('Table 1'!I10="L",'Table 3A'!H10="L"),"NC",IF('Table 1'!I10="M",0,'Table 1'!I10)+IF('Table 3A'!H10="M",0,'Table 3A'!H10)))</f>
        <v>0</v>
      </c>
      <c r="I71" s="200">
        <f>IF(AND('Table 1'!J10="0",'Table 3A'!I10="0"),0,IF(AND('Table 1'!J10="L",'Table 3A'!I10="L"),"NC",IF('Table 1'!J10="M",0,'Table 1'!J10)+IF('Table 3A'!I10="M",0,'Table 3A'!I10)))</f>
        <v>0</v>
      </c>
      <c r="J71" s="200">
        <f>IF(AND('Table 1'!K10="0",'Table 3A'!J10="0"),0,IF(AND('Table 1'!K10="L",'Table 3A'!J10="L"),"NC",IF('Table 1'!K10="M",0,'Table 1'!K10)+IF('Table 3A'!J10="M",0,'Table 3A'!J10)))</f>
        <v>0</v>
      </c>
      <c r="K71" s="200">
        <f>IF(AND('Table 1'!L10="0",'Table 3A'!K10="0"),0,IF(AND('Table 1'!L10="L",'Table 3A'!K10="L"),"NC",IF('Table 1'!L10="M",0,'Table 1'!L10)+IF('Table 3A'!K10="M",0,'Table 3A'!K10)))</f>
        <v>0</v>
      </c>
      <c r="L71" s="200">
        <f>IF(AND('Table 1'!M10="0",'Table 3A'!L10="0"),0,IF(AND('Table 1'!M10="L",'Table 3A'!L10="L"),"NC",IF('Table 1'!M10="M",0,'Table 1'!M10)+IF('Table 3A'!L10="M",0,'Table 3A'!L10)))</f>
        <v>0</v>
      </c>
      <c r="M71" s="200">
        <f>IF(AND('Table 1'!N10="0",'Table 3A'!M10="0"),0,IF(AND('Table 1'!N10="L",'Table 3A'!M10="L"),"NC",IF('Table 1'!N10="M",0,'Table 1'!N10)+IF('Table 3A'!M10="M",0,'Table 3A'!M10)))</f>
        <v>0</v>
      </c>
      <c r="N71" s="200">
        <f>IF(AND('Table 1'!O10="0",'Table 3A'!N10="0"),0,IF(AND('Table 1'!O10="L",'Table 3A'!N10="L"),"NC",IF('Table 1'!O10="M",0,'Table 1'!O10)+IF('Table 3A'!N10="M",0,'Table 3A'!N10)))</f>
        <v>0</v>
      </c>
      <c r="O71" s="200">
        <f>IF(AND('Table 1'!P10="0",'Table 3A'!O10="0"),0,IF(AND('Table 1'!P10="L",'Table 3A'!O10="L"),"NC",IF('Table 1'!P10="M",0,'Table 1'!P10)+IF('Table 3A'!O10="M",0,'Table 3A'!O10)))</f>
        <v>0</v>
      </c>
      <c r="P71" s="200">
        <f>IF(AND('Table 1'!Q10="0",'Table 3A'!P10="0"),0,IF(AND('Table 1'!Q10="L",'Table 3A'!P10="L"),"NC",IF('Table 1'!Q10="M",0,'Table 1'!Q10)+IF('Table 3A'!P10="M",0,'Table 3A'!P10)))</f>
        <v>0</v>
      </c>
      <c r="Q71" s="200">
        <f>IF(AND('Table 1'!R10="0",'Table 3A'!Q10="0"),0,IF(AND('Table 1'!R10="L",'Table 3A'!Q10="L"),"NC",IF('Table 1'!R10="M",0,'Table 1'!R10)+IF('Table 3A'!Q10="M",0,'Table 3A'!Q10)))</f>
        <v>0</v>
      </c>
      <c r="R71" s="200">
        <f>IF(AND('Table 1'!S10="0",'Table 3A'!R10="0"),0,IF(AND('Table 1'!S10="L",'Table 3A'!R10="L"),"NC",IF('Table 1'!S10="M",0,'Table 1'!S10)+IF('Table 3A'!R10="M",0,'Table 3A'!R10)))</f>
        <v>0</v>
      </c>
      <c r="S71" s="200">
        <f>IF(AND('Table 1'!T10="0",'Table 3A'!S10="0"),0,IF(AND('Table 1'!T10="L",'Table 3A'!S10="L"),"NC",IF('Table 1'!T10="M",0,'Table 1'!T10)+IF('Table 3A'!S10="M",0,'Table 3A'!S10)))</f>
        <v>0</v>
      </c>
      <c r="T71" s="200">
        <f>IF(AND('Table 1'!U10="0",'Table 3A'!T10="0"),0,IF(AND('Table 1'!U10="L",'Table 3A'!T10="L"),"NC",IF('Table 1'!U10="M",0,'Table 1'!U10)+IF('Table 3A'!T10="M",0,'Table 3A'!T10)))</f>
        <v>0</v>
      </c>
      <c r="U71" s="200">
        <f>IF(AND('Table 1'!V10="0",'Table 3A'!U10="0"),0,IF(AND('Table 1'!V10="L",'Table 3A'!U10="L"),"NC",IF('Table 1'!V10="M",0,'Table 1'!V10)+IF('Table 3A'!U10="M",0,'Table 3A'!U10)))</f>
        <v>0</v>
      </c>
      <c r="V71" s="200">
        <f>IF(AND('Table 1'!W10="0",'Table 3A'!V10="0"),0,IF(AND('Table 1'!W10="L",'Table 3A'!V10="L"),"NC",IF('Table 1'!W10="M",0,'Table 1'!W10)+IF('Table 3A'!V10="M",0,'Table 3A'!V10)))</f>
        <v>0</v>
      </c>
      <c r="W71" s="200">
        <f>IF(AND('Table 1'!X10="0",'Table 3A'!W10="0"),0,IF(AND('Table 1'!X10="L",'Table 3A'!W10="L"),"NC",IF('Table 1'!X10="M",0,'Table 1'!X10)+IF('Table 3A'!W10="M",0,'Table 3A'!W10)))</f>
        <v>0</v>
      </c>
      <c r="X71" s="200">
        <f>IF(AND('Table 1'!Y10="0",'Table 3A'!X10="0"),0,IF(AND('Table 1'!Y10="L",'Table 3A'!X10="L"),"NC",IF('Table 1'!Y10="M",0,'Table 1'!Y10)+IF('Table 3A'!X10="M",0,'Table 3A'!X10)))</f>
        <v>0</v>
      </c>
      <c r="Y71" s="197"/>
      <c r="Z71" s="198"/>
    </row>
    <row r="72" spans="1:53" ht="15.75">
      <c r="C72" s="516" t="s">
        <v>135</v>
      </c>
      <c r="D72" s="200"/>
      <c r="E72" s="200">
        <f>IF(AND(E48="0",'Table 1'!F18="0",'Table 1'!E18="0"),0,IF(AND(E48="L",'Table 1'!F18="L",'Table 1'!E18="L"),"NC",IF(E48="M",0,E48)-IF('Table 1'!F18="M",0,'Table 1'!F18)+IF('Table 1'!E18="M",0,'Table 1'!E18)))</f>
        <v>0</v>
      </c>
      <c r="F72" s="200">
        <f>IF(AND(F48="0",'Table 1'!G18="0",'Table 1'!F18="0"),0,IF(AND(F48="L",'Table 1'!G18="L",'Table 1'!F18="L"),"NC",IF(F48="M",0,F48)-IF('Table 1'!G18="M",0,'Table 1'!G18)+IF('Table 1'!F18="M",0,'Table 1'!F18)))</f>
        <v>0</v>
      </c>
      <c r="G72" s="200">
        <f>IF(AND(G48="0",'Table 1'!H18="0",'Table 1'!G18="0"),0,IF(AND(G48="L",'Table 1'!H18="L",'Table 1'!G18="L"),"NC",IF(G48="M",0,G48)-IF('Table 1'!H18="M",0,'Table 1'!H18)+IF('Table 1'!G18="M",0,'Table 1'!G18)))</f>
        <v>9.3132257461547852E-10</v>
      </c>
      <c r="H72" s="200">
        <f>IF(AND(H48="0",'Table 1'!I18="0",'Table 1'!H18="0"),0,IF(AND(H48="L",'Table 1'!I18="L",'Table 1'!H18="L"),"NC",IF(H48="M",0,H48)-IF('Table 1'!I18="M",0,'Table 1'!I18)+IF('Table 1'!H18="M",0,'Table 1'!H18)))</f>
        <v>0</v>
      </c>
      <c r="I72" s="200">
        <f>IF(AND(I48="0",'Table 1'!J18="0",'Table 1'!I18="0"),0,IF(AND(I48="L",'Table 1'!J18="L",'Table 1'!I18="L"),"NC",IF(I48="M",0,I48)-IF('Table 1'!J18="M",0,'Table 1'!J18)+IF('Table 1'!I18="M",0,'Table 1'!I18)))</f>
        <v>0</v>
      </c>
      <c r="J72" s="200">
        <f>IF(AND(J48="0",'Table 1'!K18="0",'Table 1'!J18="0"),0,IF(AND(J48="L",'Table 1'!K18="L",'Table 1'!J18="L"),"NC",IF(J48="M",0,J48)-IF('Table 1'!K18="M",0,'Table 1'!K18)+IF('Table 1'!J18="M",0,'Table 1'!J18)))</f>
        <v>0</v>
      </c>
      <c r="K72" s="200">
        <f>IF(AND(K48="0",'Table 1'!L18="0",'Table 1'!K18="0"),0,IF(AND(K48="L",'Table 1'!L18="L",'Table 1'!K18="L"),"NC",IF(K48="M",0,K48)-IF('Table 1'!L18="M",0,'Table 1'!L18)+IF('Table 1'!K18="M",0,'Table 1'!K18)))</f>
        <v>9.3132257461547852E-10</v>
      </c>
      <c r="L72" s="200">
        <f>IF(AND(L48="0",'Table 1'!M18="0",'Table 1'!L18="0"),0,IF(AND(L48="L",'Table 1'!M18="L",'Table 1'!L18="L"),"NC",IF(L48="M",0,L48)-IF('Table 1'!M18="M",0,'Table 1'!M18)+IF('Table 1'!L18="M",0,'Table 1'!L18)))</f>
        <v>0</v>
      </c>
      <c r="M72" s="200">
        <f>IF(AND(M48="0",'Table 1'!N18="0",'Table 1'!M18="0"),0,IF(AND(M48="L",'Table 1'!N18="L",'Table 1'!M18="L"),"NC",IF(M48="M",0,M48)-IF('Table 1'!N18="M",0,'Table 1'!N18)+IF('Table 1'!M18="M",0,'Table 1'!M18)))</f>
        <v>-1.862645149230957E-9</v>
      </c>
      <c r="N72" s="200">
        <f>IF(AND(N48="0",'Table 1'!O18="0",'Table 1'!N18="0"),0,IF(AND(N48="L",'Table 1'!O18="L",'Table 1'!N18="L"),"NC",IF(N48="M",0,N48)-IF('Table 1'!O18="M",0,'Table 1'!O18)+IF('Table 1'!N18="M",0,'Table 1'!N18)))</f>
        <v>0</v>
      </c>
      <c r="O72" s="200">
        <f>IF(AND(O48="0",'Table 1'!P18="0",'Table 1'!O18="0"),0,IF(AND(O48="L",'Table 1'!P18="L",'Table 1'!O18="L"),"NC",IF(O48="M",0,O48)-IF('Table 1'!P18="M",0,'Table 1'!P18)+IF('Table 1'!O18="M",0,'Table 1'!O18)))</f>
        <v>0</v>
      </c>
      <c r="P72" s="200">
        <f>IF(AND(P48="0",'Table 1'!Q18="0",'Table 1'!P18="0"),0,IF(AND(P48="L",'Table 1'!Q18="L",'Table 1'!P18="L"),"NC",IF(P48="M",0,P48)-IF('Table 1'!Q18="M",0,'Table 1'!Q18)+IF('Table 1'!P18="M",0,'Table 1'!P18)))</f>
        <v>-1.862645149230957E-9</v>
      </c>
      <c r="Q72" s="200">
        <f>IF(AND(Q48="0",'Table 1'!R18="0",'Table 1'!Q18="0"),0,IF(AND(Q48="L",'Table 1'!R18="L",'Table 1'!Q18="L"),"NC",IF(Q48="M",0,Q48)-IF('Table 1'!R18="M",0,'Table 1'!R18)+IF('Table 1'!Q18="M",0,'Table 1'!Q18)))</f>
        <v>0</v>
      </c>
      <c r="R72" s="200">
        <f>IF(AND(R48="0",'Table 1'!S18="0",'Table 1'!R18="0"),0,IF(AND(R48="L",'Table 1'!S18="L",'Table 1'!R18="L"),"NC",IF(R48="M",0,R48)-IF('Table 1'!S18="M",0,'Table 1'!S18)+IF('Table 1'!R18="M",0,'Table 1'!R18)))</f>
        <v>3.7252902984619141E-9</v>
      </c>
      <c r="S72" s="200">
        <f>IF(AND(S48="0",'Table 1'!T18="0",'Table 1'!S18="0"),0,IF(AND(S48="L",'Table 1'!T18="L",'Table 1'!S18="L"),"NC",IF(S48="M",0,S48)-IF('Table 1'!T18="M",0,'Table 1'!T18)+IF('Table 1'!S18="M",0,'Table 1'!S18)))</f>
        <v>0</v>
      </c>
      <c r="T72" s="200">
        <f>IF(AND(T48="0",'Table 1'!U18="0",'Table 1'!T18="0"),0,IF(AND(T48="L",'Table 1'!U18="L",'Table 1'!T18="L"),"NC",IF(T48="M",0,T48)-IF('Table 1'!U18="M",0,'Table 1'!U18)+IF('Table 1'!T18="M",0,'Table 1'!T18)))</f>
        <v>0</v>
      </c>
      <c r="U72" s="200">
        <f>IF(AND(U48="0",'Table 1'!V18="0",'Table 1'!U18="0"),0,IF(AND(U48="L",'Table 1'!V18="L",'Table 1'!U18="L"),"NC",IF(U48="M",0,U48)-IF('Table 1'!V18="M",0,'Table 1'!V18)+IF('Table 1'!U18="M",0,'Table 1'!U18)))</f>
        <v>-3.7252902984619141E-9</v>
      </c>
      <c r="V72" s="200">
        <f>IF(AND(V48="0",'Table 1'!W18="0",'Table 1'!V18="0"),0,IF(AND(V48="L",'Table 1'!W18="L",'Table 1'!V18="L"),"NC",IF(V48="M",0,V48)-IF('Table 1'!W18="M",0,'Table 1'!W18)+IF('Table 1'!V18="M",0,'Table 1'!V18)))</f>
        <v>0</v>
      </c>
      <c r="W72" s="200">
        <f>IF(AND(W48="0",'Table 1'!X18="0",'Table 1'!W18="0"),0,IF(AND(W48="L",'Table 1'!X18="L",'Table 1'!W18="L"),"NC",IF(W48="M",0,W48)-IF('Table 1'!X18="M",0,'Table 1'!X18)+IF('Table 1'!W18="M",0,'Table 1'!W18)))</f>
        <v>0</v>
      </c>
      <c r="X72" s="200">
        <f>IF(AND(X48="0",'Table 1'!Y18="0",'Table 1'!X18="0"),0,IF(AND(X48="L",'Table 1'!Y18="L",'Table 1'!X18="L"),"NC",IF(X48="M",0,X48)-IF('Table 1'!Y18="M",0,'Table 1'!Y18)+IF('Table 1'!X18="M",0,'Table 1'!X18)))</f>
        <v>-3.7252902984619141E-9</v>
      </c>
      <c r="Y72" s="197"/>
      <c r="Z72" s="198"/>
    </row>
    <row r="73" spans="1:53" ht="15.75">
      <c r="C73" s="516" t="s">
        <v>136</v>
      </c>
      <c r="D73" s="200">
        <f>IF(AND('Table 1'!E18="0",'Table 3B'!D51="0",'Table 3C'!D51="0",'Table 3D'!D51="0",'Table 3E'!D51="0"),0,IF(AND('Table 1'!E18="L",'Table 3B'!D51="L",'Table 3C'!D51="L",'Table 3D'!D51="L",'Table 3E'!D51="L"),"NC",IF('Table 1'!E18="M",0,'Table 1'!E18)-SUM('Table 3B'!D51,'Table 3C'!D51,'Table 3D'!D51,'Table 3E'!D51)))</f>
        <v>0</v>
      </c>
      <c r="E73" s="200">
        <f>IF(AND('Table 1'!F18="0",'Table 3B'!E51="0",'Table 3C'!E51="0",'Table 3D'!E51="0",'Table 3E'!E51="0"),0,IF(AND('Table 1'!F18="L",'Table 3B'!E51="L",'Table 3C'!E51="L",'Table 3D'!E51="L",'Table 3E'!E51="L"),"NC",IF('Table 1'!F18="M",0,'Table 1'!F18)-SUM('Table 3B'!E51,'Table 3C'!E51,'Table 3D'!E51,'Table 3E'!E51)))</f>
        <v>0</v>
      </c>
      <c r="F73" s="200">
        <f>IF(AND('Table 1'!G18="0",'Table 3B'!F51="0",'Table 3C'!F51="0",'Table 3D'!F51="0",'Table 3E'!F51="0"),0,IF(AND('Table 1'!G18="L",'Table 3B'!F51="L",'Table 3C'!F51="L",'Table 3D'!F51="L",'Table 3E'!F51="L"),"NC",IF('Table 1'!G18="M",0,'Table 1'!G18)-SUM('Table 3B'!F51,'Table 3C'!F51,'Table 3D'!F51,'Table 3E'!F51)))</f>
        <v>0</v>
      </c>
      <c r="G73" s="200">
        <f>IF(AND('Table 1'!H18="0",'Table 3B'!G51="0",'Table 3C'!G51="0",'Table 3D'!G51="0",'Table 3E'!G51="0"),0,IF(AND('Table 1'!H18="L",'Table 3B'!G51="L",'Table 3C'!G51="L",'Table 3D'!G51="L",'Table 3E'!G51="L"),"NC",IF('Table 1'!H18="M",0,'Table 1'!H18)-SUM('Table 3B'!G51,'Table 3C'!G51,'Table 3D'!G51,'Table 3E'!G51)))</f>
        <v>0</v>
      </c>
      <c r="H73" s="200">
        <f>IF(AND('Table 1'!I18="0",'Table 3B'!H51="0",'Table 3C'!H51="0",'Table 3D'!H51="0",'Table 3E'!H51="0"),0,IF(AND('Table 1'!I18="L",'Table 3B'!H51="L",'Table 3C'!H51="L",'Table 3D'!H51="L",'Table 3E'!H51="L"),"NC",IF('Table 1'!I18="M",0,'Table 1'!I18)-SUM('Table 3B'!H51,'Table 3C'!H51,'Table 3D'!H51,'Table 3E'!H51)))</f>
        <v>0</v>
      </c>
      <c r="I73" s="200">
        <f>IF(AND('Table 1'!J18="0",'Table 3B'!I51="0",'Table 3C'!I51="0",'Table 3D'!I51="0",'Table 3E'!I51="0"),0,IF(AND('Table 1'!J18="L",'Table 3B'!I51="L",'Table 3C'!I51="L",'Table 3D'!I51="L",'Table 3E'!I51="L"),"NC",IF('Table 1'!J18="M",0,'Table 1'!J18)-SUM('Table 3B'!I51,'Table 3C'!I51,'Table 3D'!I51,'Table 3E'!I51)))</f>
        <v>0</v>
      </c>
      <c r="J73" s="200">
        <f>IF(AND('Table 1'!K18="0",'Table 3B'!J51="0",'Table 3C'!J51="0",'Table 3D'!J51="0",'Table 3E'!J51="0"),0,IF(AND('Table 1'!K18="L",'Table 3B'!J51="L",'Table 3C'!J51="L",'Table 3D'!J51="L",'Table 3E'!J51="L"),"NC",IF('Table 1'!K18="M",0,'Table 1'!K18)-SUM('Table 3B'!J51,'Table 3C'!J51,'Table 3D'!J51,'Table 3E'!J51)))</f>
        <v>0</v>
      </c>
      <c r="K73" s="200">
        <f>IF(AND('Table 1'!L18="0",'Table 3B'!K51="0",'Table 3C'!K51="0",'Table 3D'!K51="0",'Table 3E'!K51="0"),0,IF(AND('Table 1'!L18="L",'Table 3B'!K51="L",'Table 3C'!K51="L",'Table 3D'!K51="L",'Table 3E'!K51="L"),"NC",IF('Table 1'!L18="M",0,'Table 1'!L18)-SUM('Table 3B'!K51,'Table 3C'!K51,'Table 3D'!K51,'Table 3E'!K51)))</f>
        <v>0</v>
      </c>
      <c r="L73" s="200">
        <f>IF(AND('Table 1'!M18="0",'Table 3B'!L51="0",'Table 3C'!L51="0",'Table 3D'!L51="0",'Table 3E'!L51="0"),0,IF(AND('Table 1'!M18="L",'Table 3B'!L51="L",'Table 3C'!L51="L",'Table 3D'!L51="L",'Table 3E'!L51="L"),"NC",IF('Table 1'!M18="M",0,'Table 1'!M18)-SUM('Table 3B'!L51,'Table 3C'!L51,'Table 3D'!L51,'Table 3E'!L51)))</f>
        <v>0</v>
      </c>
      <c r="M73" s="200">
        <f>IF(AND('Table 1'!N18="0",'Table 3B'!M51="0",'Table 3C'!M51="0",'Table 3D'!M51="0",'Table 3E'!M51="0"),0,IF(AND('Table 1'!N18="L",'Table 3B'!M51="L",'Table 3C'!M51="L",'Table 3D'!M51="L",'Table 3E'!M51="L"),"NC",IF('Table 1'!N18="M",0,'Table 1'!N18)-SUM('Table 3B'!M51,'Table 3C'!M51,'Table 3D'!M51,'Table 3E'!M51)))</f>
        <v>0</v>
      </c>
      <c r="N73" s="200">
        <f>IF(AND('Table 1'!O18="0",'Table 3B'!N51="0",'Table 3C'!N51="0",'Table 3D'!N51="0",'Table 3E'!N51="0"),0,IF(AND('Table 1'!O18="L",'Table 3B'!N51="L",'Table 3C'!N51="L",'Table 3D'!N51="L",'Table 3E'!N51="L"),"NC",IF('Table 1'!O18="M",0,'Table 1'!O18)-SUM('Table 3B'!N51,'Table 3C'!N51,'Table 3D'!N51,'Table 3E'!N51)))</f>
        <v>0</v>
      </c>
      <c r="O73" s="200">
        <f>IF(AND('Table 1'!P18="0",'Table 3B'!O51="0",'Table 3C'!O51="0",'Table 3D'!O51="0",'Table 3E'!O51="0"),0,IF(AND('Table 1'!P18="L",'Table 3B'!O51="L",'Table 3C'!O51="L",'Table 3D'!O51="L",'Table 3E'!O51="L"),"NC",IF('Table 1'!P18="M",0,'Table 1'!P18)-SUM('Table 3B'!O51,'Table 3C'!O51,'Table 3D'!O51,'Table 3E'!O51)))</f>
        <v>0</v>
      </c>
      <c r="P73" s="200">
        <f>IF(AND('Table 1'!Q18="0",'Table 3B'!P51="0",'Table 3C'!P51="0",'Table 3D'!P51="0",'Table 3E'!P51="0"),0,IF(AND('Table 1'!Q18="L",'Table 3B'!P51="L",'Table 3C'!P51="L",'Table 3D'!P51="L",'Table 3E'!P51="L"),"NC",IF('Table 1'!Q18="M",0,'Table 1'!Q18)-SUM('Table 3B'!P51,'Table 3C'!P51,'Table 3D'!P51,'Table 3E'!P51)))</f>
        <v>0</v>
      </c>
      <c r="Q73" s="200">
        <f>IF(AND('Table 1'!R18="0",'Table 3B'!Q51="0",'Table 3C'!Q51="0",'Table 3D'!Q51="0",'Table 3E'!Q51="0"),0,IF(AND('Table 1'!R18="L",'Table 3B'!Q51="L",'Table 3C'!Q51="L",'Table 3D'!Q51="L",'Table 3E'!Q51="L"),"NC",IF('Table 1'!R18="M",0,'Table 1'!R18)-SUM('Table 3B'!Q51,'Table 3C'!Q51,'Table 3D'!Q51,'Table 3E'!Q51)))</f>
        <v>0</v>
      </c>
      <c r="R73" s="200">
        <f>IF(AND('Table 1'!S18="0",'Table 3B'!R51="0",'Table 3C'!R51="0",'Table 3D'!R51="0",'Table 3E'!R51="0"),0,IF(AND('Table 1'!S18="L",'Table 3B'!R51="L",'Table 3C'!R51="L",'Table 3D'!R51="L",'Table 3E'!R51="L"),"NC",IF('Table 1'!S18="M",0,'Table 1'!S18)-SUM('Table 3B'!R51,'Table 3C'!R51,'Table 3D'!R51,'Table 3E'!R51)))</f>
        <v>0</v>
      </c>
      <c r="S73" s="200">
        <f>IF(AND('Table 1'!T18="0",'Table 3B'!S51="0",'Table 3C'!S51="0",'Table 3D'!S51="0",'Table 3E'!S51="0"),0,IF(AND('Table 1'!T18="L",'Table 3B'!S51="L",'Table 3C'!S51="L",'Table 3D'!S51="L",'Table 3E'!S51="L"),"NC",IF('Table 1'!T18="M",0,'Table 1'!T18)-SUM('Table 3B'!S51,'Table 3C'!S51,'Table 3D'!S51,'Table 3E'!S51)))</f>
        <v>0</v>
      </c>
      <c r="T73" s="200">
        <f>IF(AND('Table 1'!U18="0",'Table 3B'!T51="0",'Table 3C'!T51="0",'Table 3D'!T51="0",'Table 3E'!T51="0"),0,IF(AND('Table 1'!U18="L",'Table 3B'!T51="L",'Table 3C'!T51="L",'Table 3D'!T51="L",'Table 3E'!T51="L"),"NC",IF('Table 1'!U18="M",0,'Table 1'!U18)-SUM('Table 3B'!T51,'Table 3C'!T51,'Table 3D'!T51,'Table 3E'!T51)))</f>
        <v>0</v>
      </c>
      <c r="U73" s="200">
        <f>IF(AND('Table 1'!V18="0",'Table 3B'!U51="0",'Table 3C'!U51="0",'Table 3D'!U51="0",'Table 3E'!U51="0"),0,IF(AND('Table 1'!V18="L",'Table 3B'!U51="L",'Table 3C'!U51="L",'Table 3D'!U51="L",'Table 3E'!U51="L"),"NC",IF('Table 1'!V18="M",0,'Table 1'!V18)-SUM('Table 3B'!U51,'Table 3C'!U51,'Table 3D'!U51,'Table 3E'!U51)))</f>
        <v>0</v>
      </c>
      <c r="V73" s="200">
        <f>IF(AND('Table 1'!W18="0",'Table 3B'!V51="0",'Table 3C'!V51="0",'Table 3D'!V51="0",'Table 3E'!V51="0"),0,IF(AND('Table 1'!W18="L",'Table 3B'!V51="L",'Table 3C'!V51="L",'Table 3D'!V51="L",'Table 3E'!V51="L"),"NC",IF('Table 1'!W18="M",0,'Table 1'!W18)-SUM('Table 3B'!V51,'Table 3C'!V51,'Table 3D'!V51,'Table 3E'!V51)))</f>
        <v>0</v>
      </c>
      <c r="W73" s="200">
        <f>IF(AND('Table 1'!X18="0",'Table 3B'!W51="0",'Table 3C'!W51="0",'Table 3D'!W51="0",'Table 3E'!W51="0"),0,IF(AND('Table 1'!X18="L",'Table 3B'!W51="L",'Table 3C'!W51="L",'Table 3D'!W51="L",'Table 3E'!W51="L"),"NC",IF('Table 1'!X18="M",0,'Table 1'!X18)-SUM('Table 3B'!W51,'Table 3C'!W51,'Table 3D'!W51,'Table 3E'!W51)))</f>
        <v>0</v>
      </c>
      <c r="X73" s="200">
        <f>IF(AND('Table 1'!Y18="0",'Table 3B'!X51="0",'Table 3C'!X51="0",'Table 3D'!X51="0",'Table 3E'!X51="0"),0,IF(AND('Table 1'!Y18="L",'Table 3B'!X51="L",'Table 3C'!X51="L",'Table 3D'!X51="L",'Table 3E'!X51="L"),"NC",IF('Table 1'!Y18="M",0,'Table 1'!Y18)-SUM('Table 3B'!X51,'Table 3C'!X51,'Table 3D'!X51,'Table 3E'!X51)))</f>
        <v>0</v>
      </c>
      <c r="Y73" s="197"/>
      <c r="Z73" s="198"/>
    </row>
    <row r="74" spans="1:53" s="468" customFormat="1" ht="38.25" customHeight="1">
      <c r="A74" s="30"/>
      <c r="B74" s="79"/>
      <c r="C74" s="516" t="s">
        <v>1001</v>
      </c>
      <c r="D74" s="518">
        <f>IF(AND(D12="0",'Table 3B'!D12="0",'Table 3C'!D12="0",'Table 3D'!D12="0",'Table 3E'!D12="0",D31="0",'Table 3B'!D31="0",'Table 3C'!D31="0",'Table 3D'!D31="0",'Table 3E'!D31="0",D48="0",'Table 3B'!D48="0",'Table 3C'!D48="0",'Table 3D'!D48="0",'Table 3E'!D48="0"),0,IF(AND(D12="L",'Table 3B'!D12="L",'Table 3C'!D12="L",'Table 3D'!D12="L",'Table 3E'!D12="L",D31="L",'Table 3B'!D31="L",'Table 3C'!D31="L",'Table 3D'!D31="L",'Table 3E'!D31="L",D48="L",'Table 3B'!D48="L",'Table 3C'!D48="L",'Table 3D'!D48="L",'Table 3E'!D48="L"),"NC",(D12-SUM('Table 3B'!D12,'Table 3C'!D12,'Table 3D'!D12,'Table 3E'!D12))+(D31-SUM('Table 3B'!D31,'Table 3C'!D31,'Table 3D'!D31,'Table 3E'!D31))-(D48-SUM('Table 3B'!D48,'Table 3C'!D48,'Table 3D'!D48,'Table 3E'!D48))))</f>
        <v>-2.9103830456733704E-11</v>
      </c>
      <c r="E74" s="518">
        <f>IF(AND(E12="0",'Table 3B'!E12="0",'Table 3C'!E12="0",'Table 3D'!E12="0",'Table 3E'!E12="0",E31="0",'Table 3B'!E31="0",'Table 3C'!E31="0",'Table 3D'!E31="0",'Table 3E'!E31="0",E48="0",'Table 3B'!E48="0",'Table 3C'!E48="0",'Table 3D'!E48="0",'Table 3E'!E48="0"),0,IF(AND(E12="L",'Table 3B'!E12="L",'Table 3C'!E12="L",'Table 3D'!E12="L",'Table 3E'!E12="L",E31="L",'Table 3B'!E31="L",'Table 3C'!E31="L",'Table 3D'!E31="L",'Table 3E'!E31="L",E48="L",'Table 3B'!E48="L",'Table 3C'!E48="L",'Table 3D'!E48="L",'Table 3E'!E48="L"),"NC",(E12-SUM('Table 3B'!E12,'Table 3C'!E12,'Table 3D'!E12,'Table 3E'!E12))+(E31-SUM('Table 3B'!E31,'Table 3C'!E31,'Table 3D'!E31,'Table 3E'!E31))-(E48-SUM('Table 3B'!E48,'Table 3C'!E48,'Table 3D'!E48,'Table 3E'!E48))))</f>
        <v>1.4551915228366852E-11</v>
      </c>
      <c r="F74" s="518">
        <f>IF(AND(F12="0",'Table 3B'!F12="0",'Table 3C'!F12="0",'Table 3D'!F12="0",'Table 3E'!F12="0",F31="0",'Table 3B'!F31="0",'Table 3C'!F31="0",'Table 3D'!F31="0",'Table 3E'!F31="0",F48="0",'Table 3B'!F48="0",'Table 3C'!F48="0",'Table 3D'!F48="0",'Table 3E'!F48="0"),0,IF(AND(F12="L",'Table 3B'!F12="L",'Table 3C'!F12="L",'Table 3D'!F12="L",'Table 3E'!F12="L",F31="L",'Table 3B'!F31="L",'Table 3C'!F31="L",'Table 3D'!F31="L",'Table 3E'!F31="L",F48="L",'Table 3B'!F48="L",'Table 3C'!F48="L",'Table 3D'!F48="L",'Table 3E'!F48="L"),"NC",(F12-SUM('Table 3B'!F12,'Table 3C'!F12,'Table 3D'!F12,'Table 3E'!F12))+(F31-SUM('Table 3B'!F31,'Table 3C'!F31,'Table 3D'!F31,'Table 3E'!F31))-(F48-SUM('Table 3B'!F48,'Table 3C'!F48,'Table 3D'!F48,'Table 3E'!F48))))</f>
        <v>-5.8207660913467407E-11</v>
      </c>
      <c r="G74" s="518">
        <f>IF(AND(G12="0",'Table 3B'!G12="0",'Table 3C'!G12="0",'Table 3D'!G12="0",'Table 3E'!G12="0",G31="0",'Table 3B'!G31="0",'Table 3C'!G31="0",'Table 3D'!G31="0",'Table 3E'!G31="0",G48="0",'Table 3B'!G48="0",'Table 3C'!G48="0",'Table 3D'!G48="0",'Table 3E'!G48="0"),0,IF(AND(G12="L",'Table 3B'!G12="L",'Table 3C'!G12="L",'Table 3D'!G12="L",'Table 3E'!G12="L",G31="L",'Table 3B'!G31="L",'Table 3C'!G31="L",'Table 3D'!G31="L",'Table 3E'!G31="L",G48="L",'Table 3B'!G48="L",'Table 3C'!G48="L",'Table 3D'!G48="L",'Table 3E'!G48="L"),"NC",(G12-SUM('Table 3B'!G12,'Table 3C'!G12,'Table 3D'!G12,'Table 3E'!G12))+(G31-SUM('Table 3B'!G31,'Table 3C'!G31,'Table 3D'!G31,'Table 3E'!G31))-(G48-SUM('Table 3B'!G48,'Table 3C'!G48,'Table 3D'!G48,'Table 3E'!G48))))</f>
        <v>1.7462298274040222E-10</v>
      </c>
      <c r="H74" s="518">
        <f>IF(AND(H12="0",'Table 3B'!H12="0",'Table 3C'!H12="0",'Table 3D'!H12="0",'Table 3E'!H12="0",H31="0",'Table 3B'!H31="0",'Table 3C'!H31="0",'Table 3D'!H31="0",'Table 3E'!H31="0",H48="0",'Table 3B'!H48="0",'Table 3C'!H48="0",'Table 3D'!H48="0",'Table 3E'!H48="0"),0,IF(AND(H12="L",'Table 3B'!H12="L",'Table 3C'!H12="L",'Table 3D'!H12="L",'Table 3E'!H12="L",H31="L",'Table 3B'!H31="L",'Table 3C'!H31="L",'Table 3D'!H31="L",'Table 3E'!H31="L",H48="L",'Table 3B'!H48="L",'Table 3C'!H48="L",'Table 3D'!H48="L",'Table 3E'!H48="L"),"NC",(H12-SUM('Table 3B'!H12,'Table 3C'!H12,'Table 3D'!H12,'Table 3E'!H12))+(H31-SUM('Table 3B'!H31,'Table 3C'!H31,'Table 3D'!H31,'Table 3E'!H31))-(H48-SUM('Table 3B'!H48,'Table 3C'!H48,'Table 3D'!H48,'Table 3E'!H48))))</f>
        <v>0</v>
      </c>
      <c r="I74" s="518">
        <f>IF(AND(I12="0",'Table 3B'!I12="0",'Table 3C'!I12="0",'Table 3D'!I12="0",'Table 3E'!I12="0",I31="0",'Table 3B'!I31="0",'Table 3C'!I31="0",'Table 3D'!I31="0",'Table 3E'!I31="0",I48="0",'Table 3B'!I48="0",'Table 3C'!I48="0",'Table 3D'!I48="0",'Table 3E'!I48="0"),0,IF(AND(I12="L",'Table 3B'!I12="L",'Table 3C'!I12="L",'Table 3D'!I12="L",'Table 3E'!I12="L",I31="L",'Table 3B'!I31="L",'Table 3C'!I31="L",'Table 3D'!I31="L",'Table 3E'!I31="L",I48="L",'Table 3B'!I48="L",'Table 3C'!I48="L",'Table 3D'!I48="L",'Table 3E'!I48="L"),"NC",(I12-SUM('Table 3B'!I12,'Table 3C'!I12,'Table 3D'!I12,'Table 3E'!I12))+(I31-SUM('Table 3B'!I31,'Table 3C'!I31,'Table 3D'!I31,'Table 3E'!I31))-(I48-SUM('Table 3B'!I48,'Table 3C'!I48,'Table 3D'!I48,'Table 3E'!I48))))</f>
        <v>-5.8207660913467407E-11</v>
      </c>
      <c r="J74" s="518">
        <f>IF(AND(J12="0",'Table 3B'!J12="0",'Table 3C'!J12="0",'Table 3D'!J12="0",'Table 3E'!J12="0",J31="0",'Table 3B'!J31="0",'Table 3C'!J31="0",'Table 3D'!J31="0",'Table 3E'!J31="0",J48="0",'Table 3B'!J48="0",'Table 3C'!J48="0",'Table 3D'!J48="0",'Table 3E'!J48="0"),0,IF(AND(J12="L",'Table 3B'!J12="L",'Table 3C'!J12="L",'Table 3D'!J12="L",'Table 3E'!J12="L",J31="L",'Table 3B'!J31="L",'Table 3C'!J31="L",'Table 3D'!J31="L",'Table 3E'!J31="L",J48="L",'Table 3B'!J48="L",'Table 3C'!J48="L",'Table 3D'!J48="L",'Table 3E'!J48="L"),"NC",(J12-SUM('Table 3B'!J12,'Table 3C'!J12,'Table 3D'!J12,'Table 3E'!J12))+(J31-SUM('Table 3B'!J31,'Table 3C'!J31,'Table 3D'!J31,'Table 3E'!J31))-(J48-SUM('Table 3B'!J48,'Table 3C'!J48,'Table 3D'!J48,'Table 3E'!J48))))</f>
        <v>-5.8207660913467407E-11</v>
      </c>
      <c r="K74" s="518">
        <f>IF(AND(K12="0",'Table 3B'!K12="0",'Table 3C'!K12="0",'Table 3D'!K12="0",'Table 3E'!K12="0",K31="0",'Table 3B'!K31="0",'Table 3C'!K31="0",'Table 3D'!K31="0",'Table 3E'!K31="0",K48="0",'Table 3B'!K48="0",'Table 3C'!K48="0",'Table 3D'!K48="0",'Table 3E'!K48="0"),0,IF(AND(K12="L",'Table 3B'!K12="L",'Table 3C'!K12="L",'Table 3D'!K12="L",'Table 3E'!K12="L",K31="L",'Table 3B'!K31="L",'Table 3C'!K31="L",'Table 3D'!K31="L",'Table 3E'!K31="L",K48="L",'Table 3B'!K48="L",'Table 3C'!K48="L",'Table 3D'!K48="L",'Table 3E'!K48="L"),"NC",(K12-SUM('Table 3B'!K12,'Table 3C'!K12,'Table 3D'!K12,'Table 3E'!K12))+(K31-SUM('Table 3B'!K31,'Table 3C'!K31,'Table 3D'!K31,'Table 3E'!K31))-(K48-SUM('Table 3B'!K48,'Table 3C'!K48,'Table 3D'!K48,'Table 3E'!K48))))</f>
        <v>-2.6193447411060333E-10</v>
      </c>
      <c r="L74" s="518">
        <f>IF(AND(L12="0",'Table 3B'!L12="0",'Table 3C'!L12="0",'Table 3D'!L12="0",'Table 3E'!L12="0",L31="0",'Table 3B'!L31="0",'Table 3C'!L31="0",'Table 3D'!L31="0",'Table 3E'!L31="0",L48="0",'Table 3B'!L48="0",'Table 3C'!L48="0",'Table 3D'!L48="0",'Table 3E'!L48="0"),0,IF(AND(L12="L",'Table 3B'!L12="L",'Table 3C'!L12="L",'Table 3D'!L12="L",'Table 3E'!L12="L",L31="L",'Table 3B'!L31="L",'Table 3C'!L31="L",'Table 3D'!L31="L",'Table 3E'!L31="L",L48="L",'Table 3B'!L48="L",'Table 3C'!L48="L",'Table 3D'!L48="L",'Table 3E'!L48="L"),"NC",(L12-SUM('Table 3B'!L12,'Table 3C'!L12,'Table 3D'!L12,'Table 3E'!L12))+(L31-SUM('Table 3B'!L31,'Table 3C'!L31,'Table 3D'!L31,'Table 3E'!L31))-(L48-SUM('Table 3B'!L48,'Table 3C'!L48,'Table 3D'!L48,'Table 3E'!L48))))</f>
        <v>3.4924596548080444E-10</v>
      </c>
      <c r="M74" s="518">
        <f>IF(AND(M12="0",'Table 3B'!M12="0",'Table 3C'!M12="0",'Table 3D'!M12="0",'Table 3E'!M12="0",M31="0",'Table 3B'!M31="0",'Table 3C'!M31="0",'Table 3D'!M31="0",'Table 3E'!M31="0",M48="0",'Table 3B'!M48="0",'Table 3C'!M48="0",'Table 3D'!M48="0",'Table 3E'!M48="0"),0,IF(AND(M12="L",'Table 3B'!M12="L",'Table 3C'!M12="L",'Table 3D'!M12="L",'Table 3E'!M12="L",M31="L",'Table 3B'!M31="L",'Table 3C'!M31="L",'Table 3D'!M31="L",'Table 3E'!M31="L",M48="L",'Table 3B'!M48="L",'Table 3C'!M48="L",'Table 3D'!M48="L",'Table 3E'!M48="L"),"NC",(M12-SUM('Table 3B'!M12,'Table 3C'!M12,'Table 3D'!M12,'Table 3E'!M12))+(M31-SUM('Table 3B'!M31,'Table 3C'!M31,'Table 3D'!M31,'Table 3E'!M31))-(M48-SUM('Table 3B'!M48,'Table 3C'!M48,'Table 3D'!M48,'Table 3E'!M48))))</f>
        <v>-1.1641532182693481E-10</v>
      </c>
      <c r="N74" s="518">
        <f>IF(AND(N12="0",'Table 3B'!N12="0",'Table 3C'!N12="0",'Table 3D'!N12="0",'Table 3E'!N12="0",N31="0",'Table 3B'!N31="0",'Table 3C'!N31="0",'Table 3D'!N31="0",'Table 3E'!N31="0",N48="0",'Table 3B'!N48="0",'Table 3C'!N48="0",'Table 3D'!N48="0",'Table 3E'!N48="0"),0,IF(AND(N12="L",'Table 3B'!N12="L",'Table 3C'!N12="L",'Table 3D'!N12="L",'Table 3E'!N12="L",N31="L",'Table 3B'!N31="L",'Table 3C'!N31="L",'Table 3D'!N31="L",'Table 3E'!N31="L",N48="L",'Table 3B'!N48="L",'Table 3C'!N48="L",'Table 3D'!N48="L",'Table 3E'!N48="L"),"NC",(N12-SUM('Table 3B'!N12,'Table 3C'!N12,'Table 3D'!N12,'Table 3E'!N12))+(N31-SUM('Table 3B'!N31,'Table 3C'!N31,'Table 3D'!N31,'Table 3E'!N31))-(N48-SUM('Table 3B'!N48,'Table 3C'!N48,'Table 3D'!N48,'Table 3E'!N48))))</f>
        <v>1.1641532182693481E-10</v>
      </c>
      <c r="O74" s="518">
        <f>IF(AND(O12="0",'Table 3B'!O12="0",'Table 3C'!O12="0",'Table 3D'!O12="0",'Table 3E'!O12="0",O31="0",'Table 3B'!O31="0",'Table 3C'!O31="0",'Table 3D'!O31="0",'Table 3E'!O31="0",O48="0",'Table 3B'!O48="0",'Table 3C'!O48="0",'Table 3D'!O48="0",'Table 3E'!O48="0"),0,IF(AND(O12="L",'Table 3B'!O12="L",'Table 3C'!O12="L",'Table 3D'!O12="L",'Table 3E'!O12="L",O31="L",'Table 3B'!O31="L",'Table 3C'!O31="L",'Table 3D'!O31="L",'Table 3E'!O31="L",O48="L",'Table 3B'!O48="L",'Table 3C'!O48="L",'Table 3D'!O48="L",'Table 3E'!O48="L"),"NC",(O12-SUM('Table 3B'!O12,'Table 3C'!O12,'Table 3D'!O12,'Table 3E'!O12))+(O31-SUM('Table 3B'!O31,'Table 3C'!O31,'Table 3D'!O31,'Table 3E'!O31))-(O48-SUM('Table 3B'!O48,'Table 3C'!O48,'Table 3D'!O48,'Table 3E'!O48))))</f>
        <v>-1.7462298274040222E-10</v>
      </c>
      <c r="P74" s="518">
        <f>IF(AND(P12="0",'Table 3B'!P12="0",'Table 3C'!P12="0",'Table 3D'!P12="0",'Table 3E'!P12="0",P31="0",'Table 3B'!P31="0",'Table 3C'!P31="0",'Table 3D'!P31="0",'Table 3E'!P31="0",P48="0",'Table 3B'!P48="0",'Table 3C'!P48="0",'Table 3D'!P48="0",'Table 3E'!P48="0"),0,IF(AND(P12="L",'Table 3B'!P12="L",'Table 3C'!P12="L",'Table 3D'!P12="L",'Table 3E'!P12="L",P31="L",'Table 3B'!P31="L",'Table 3C'!P31="L",'Table 3D'!P31="L",'Table 3E'!P31="L",P48="L",'Table 3B'!P48="L",'Table 3C'!P48="L",'Table 3D'!P48="L",'Table 3E'!P48="L"),"NC",(P12-SUM('Table 3B'!P12,'Table 3C'!P12,'Table 3D'!P12,'Table 3E'!P12))+(P31-SUM('Table 3B'!P31,'Table 3C'!P31,'Table 3D'!P31,'Table 3E'!P31))-(P48-SUM('Table 3B'!P48,'Table 3C'!P48,'Table 3D'!P48,'Table 3E'!P48))))</f>
        <v>2.9103830456733704E-11</v>
      </c>
      <c r="Q74" s="518">
        <f>IF(AND(Q12="0",'Table 3B'!Q12="0",'Table 3C'!Q12="0",'Table 3D'!Q12="0",'Table 3E'!Q12="0",Q31="0",'Table 3B'!Q31="0",'Table 3C'!Q31="0",'Table 3D'!Q31="0",'Table 3E'!Q31="0",Q48="0",'Table 3B'!Q48="0",'Table 3C'!Q48="0",'Table 3D'!Q48="0",'Table 3E'!Q48="0"),0,IF(AND(Q12="L",'Table 3B'!Q12="L",'Table 3C'!Q12="L",'Table 3D'!Q12="L",'Table 3E'!Q12="L",Q31="L",'Table 3B'!Q31="L",'Table 3C'!Q31="L",'Table 3D'!Q31="L",'Table 3E'!Q31="L",Q48="L",'Table 3B'!Q48="L",'Table 3C'!Q48="L",'Table 3D'!Q48="L",'Table 3E'!Q48="L"),"NC",(Q12-SUM('Table 3B'!Q12,'Table 3C'!Q12,'Table 3D'!Q12,'Table 3E'!Q12))+(Q31-SUM('Table 3B'!Q31,'Table 3C'!Q31,'Table 3D'!Q31,'Table 3E'!Q31))-(Q48-SUM('Table 3B'!Q48,'Table 3C'!Q48,'Table 3D'!Q48,'Table 3E'!Q48))))</f>
        <v>-5.8207660913467407E-11</v>
      </c>
      <c r="R74" s="518">
        <f>IF(AND(R12="0",'Table 3B'!R12="0",'Table 3C'!R12="0",'Table 3D'!R12="0",'Table 3E'!R12="0",R31="0",'Table 3B'!R31="0",'Table 3C'!R31="0",'Table 3D'!R31="0",'Table 3E'!R31="0",R48="0",'Table 3B'!R48="0",'Table 3C'!R48="0",'Table 3D'!R48="0",'Table 3E'!R48="0"),0,IF(AND(R12="L",'Table 3B'!R12="L",'Table 3C'!R12="L",'Table 3D'!R12="L",'Table 3E'!R12="L",R31="L",'Table 3B'!R31="L",'Table 3C'!R31="L",'Table 3D'!R31="L",'Table 3E'!R31="L",R48="L",'Table 3B'!R48="L",'Table 3C'!R48="L",'Table 3D'!R48="L",'Table 3E'!R48="L"),"NC",(R12-SUM('Table 3B'!R12,'Table 3C'!R12,'Table 3D'!R12,'Table 3E'!R12))+(R31-SUM('Table 3B'!R31,'Table 3C'!R31,'Table 3D'!R31,'Table 3E'!R31))-(R48-SUM('Table 3B'!R48,'Table 3C'!R48,'Table 3D'!R48,'Table 3E'!R48))))</f>
        <v>-2.9103830456733704E-11</v>
      </c>
      <c r="S74" s="518">
        <f>IF(AND(S12="0",'Table 3B'!S12="0",'Table 3C'!S12="0",'Table 3D'!S12="0",'Table 3E'!S12="0",S31="0",'Table 3B'!S31="0",'Table 3C'!S31="0",'Table 3D'!S31="0",'Table 3E'!S31="0",S48="0",'Table 3B'!S48="0",'Table 3C'!S48="0",'Table 3D'!S48="0",'Table 3E'!S48="0"),0,IF(AND(S12="L",'Table 3B'!S12="L",'Table 3C'!S12="L",'Table 3D'!S12="L",'Table 3E'!S12="L",S31="L",'Table 3B'!S31="L",'Table 3C'!S31="L",'Table 3D'!S31="L",'Table 3E'!S31="L",S48="L",'Table 3B'!S48="L",'Table 3C'!S48="L",'Table 3D'!S48="L",'Table 3E'!S48="L"),"NC",(S12-SUM('Table 3B'!S12,'Table 3C'!S12,'Table 3D'!S12,'Table 3E'!S12))+(S31-SUM('Table 3B'!S31,'Table 3C'!S31,'Table 3D'!S31,'Table 3E'!S31))-(S48-SUM('Table 3B'!S48,'Table 3C'!S48,'Table 3D'!S48,'Table 3E'!S48))))</f>
        <v>1.1641532182693481E-10</v>
      </c>
      <c r="T74" s="518">
        <f>IF(AND(T12="0",'Table 3B'!T12="0",'Table 3C'!T12="0",'Table 3D'!T12="0",'Table 3E'!T12="0",T31="0",'Table 3B'!T31="0",'Table 3C'!T31="0",'Table 3D'!T31="0",'Table 3E'!T31="0",T48="0",'Table 3B'!T48="0",'Table 3C'!T48="0",'Table 3D'!T48="0",'Table 3E'!T48="0"),0,IF(AND(T12="L",'Table 3B'!T12="L",'Table 3C'!T12="L",'Table 3D'!T12="L",'Table 3E'!T12="L",T31="L",'Table 3B'!T31="L",'Table 3C'!T31="L",'Table 3D'!T31="L",'Table 3E'!T31="L",T48="L",'Table 3B'!T48="L",'Table 3C'!T48="L",'Table 3D'!T48="L",'Table 3E'!T48="L"),"NC",(T12-SUM('Table 3B'!T12,'Table 3C'!T12,'Table 3D'!T12,'Table 3E'!T12))+(T31-SUM('Table 3B'!T31,'Table 3C'!T31,'Table 3D'!T31,'Table 3E'!T31))-(T48-SUM('Table 3B'!T48,'Table 3C'!T48,'Table 3D'!T48,'Table 3E'!T48))))</f>
        <v>-4.6566128730773926E-10</v>
      </c>
      <c r="U74" s="518">
        <f>IF(AND(U12="0",'Table 3B'!U12="0",'Table 3C'!U12="0",'Table 3D'!U12="0",'Table 3E'!U12="0",U31="0",'Table 3B'!U31="0",'Table 3C'!U31="0",'Table 3D'!U31="0",'Table 3E'!U31="0",U48="0",'Table 3B'!U48="0",'Table 3C'!U48="0",'Table 3D'!U48="0",'Table 3E'!U48="0"),0,IF(AND(U12="L",'Table 3B'!U12="L",'Table 3C'!U12="L",'Table 3D'!U12="L",'Table 3E'!U12="L",U31="L",'Table 3B'!U31="L",'Table 3C'!U31="L",'Table 3D'!U31="L",'Table 3E'!U31="L",U48="L",'Table 3B'!U48="L",'Table 3C'!U48="L",'Table 3D'!U48="L",'Table 3E'!U48="L"),"NC",(U12-SUM('Table 3B'!U12,'Table 3C'!U12,'Table 3D'!U12,'Table 3E'!U12))+(U31-SUM('Table 3B'!U31,'Table 3C'!U31,'Table 3D'!U31,'Table 3E'!U31))-(U48-SUM('Table 3B'!U48,'Table 3C'!U48,'Table 3D'!U48,'Table 3E'!U48))))</f>
        <v>0</v>
      </c>
      <c r="V74" s="518">
        <f>IF(AND(V12="0",'Table 3B'!V12="0",'Table 3C'!V12="0",'Table 3D'!V12="0",'Table 3E'!V12="0",V31="0",'Table 3B'!V31="0",'Table 3C'!V31="0",'Table 3D'!V31="0",'Table 3E'!V31="0",V48="0",'Table 3B'!V48="0",'Table 3C'!V48="0",'Table 3D'!V48="0",'Table 3E'!V48="0"),0,IF(AND(V12="L",'Table 3B'!V12="L",'Table 3C'!V12="L",'Table 3D'!V12="L",'Table 3E'!V12="L",V31="L",'Table 3B'!V31="L",'Table 3C'!V31="L",'Table 3D'!V31="L",'Table 3E'!V31="L",V48="L",'Table 3B'!V48="L",'Table 3C'!V48="L",'Table 3D'!V48="L",'Table 3E'!V48="L"),"NC",(V12-SUM('Table 3B'!V12,'Table 3C'!V12,'Table 3D'!V12,'Table 3E'!V12))+(V31-SUM('Table 3B'!V31,'Table 3C'!V31,'Table 3D'!V31,'Table 3E'!V31))-(V48-SUM('Table 3B'!V48,'Table 3C'!V48,'Table 3D'!V48,'Table 3E'!V48))))</f>
        <v>8.7311491370201111E-11</v>
      </c>
      <c r="W74" s="518">
        <f>IF(AND(W12="0",'Table 3B'!W12="0",'Table 3C'!W12="0",'Table 3D'!W12="0",'Table 3E'!W12="0",W31="0",'Table 3B'!W31="0",'Table 3C'!W31="0",'Table 3D'!W31="0",'Table 3E'!W31="0",W48="0",'Table 3B'!W48="0",'Table 3C'!W48="0",'Table 3D'!W48="0",'Table 3E'!W48="0"),0,IF(AND(W12="L",'Table 3B'!W12="L",'Table 3C'!W12="L",'Table 3D'!W12="L",'Table 3E'!W12="L",W31="L",'Table 3B'!W31="L",'Table 3C'!W31="L",'Table 3D'!W31="L",'Table 3E'!W31="L",W48="L",'Table 3B'!W48="L",'Table 3C'!W48="L",'Table 3D'!W48="L",'Table 3E'!W48="L"),"NC",(W12-SUM('Table 3B'!W12,'Table 3C'!W12,'Table 3D'!W12,'Table 3E'!W12))+(W31-SUM('Table 3B'!W31,'Table 3C'!W31,'Table 3D'!W31,'Table 3E'!W31))-(W48-SUM('Table 3B'!W48,'Table 3C'!W48,'Table 3D'!W48,'Table 3E'!W48))))</f>
        <v>-2.3283064365386963E-10</v>
      </c>
      <c r="X74" s="518">
        <f>IF(AND(X12="0",'Table 3B'!X12="0",'Table 3C'!X12="0",'Table 3D'!X12="0",'Table 3E'!X12="0",X31="0",'Table 3B'!X31="0",'Table 3C'!X31="0",'Table 3D'!X31="0",'Table 3E'!X31="0",X48="0",'Table 3B'!X48="0",'Table 3C'!X48="0",'Table 3D'!X48="0",'Table 3E'!X48="0"),0,IF(AND(X12="L",'Table 3B'!X12="L",'Table 3C'!X12="L",'Table 3D'!X12="L",'Table 3E'!X12="L",X31="L",'Table 3B'!X31="L",'Table 3C'!X31="L",'Table 3D'!X31="L",'Table 3E'!X31="L",X48="L",'Table 3B'!X48="L",'Table 3C'!X48="L",'Table 3D'!X48="L",'Table 3E'!X48="L"),"NC",(X12-SUM('Table 3B'!X12,'Table 3C'!X12,'Table 3D'!X12,'Table 3E'!X12))+(X31-SUM('Table 3B'!X31,'Table 3C'!X31,'Table 3D'!X31,'Table 3E'!X31))-(X48-SUM('Table 3B'!X48,'Table 3C'!X48,'Table 3D'!X48,'Table 3E'!X48))))</f>
        <v>5.8207660913467407E-11</v>
      </c>
      <c r="AE74"/>
      <c r="BA74" s="515"/>
    </row>
    <row r="75" spans="1:53" ht="23.25">
      <c r="C75" s="514" t="s">
        <v>560</v>
      </c>
      <c r="D75" s="364">
        <f>IF(AND(D10="0",D45="0",'Table 3B'!D10="0",'Table 3B'!D45="0",'Table 3C'!D10="0",'Table 3C'!D45="0",'Table 3D'!D10="0",'Table 3D'!D45="0",'Table 3E'!D10="0",'Table 3E'!D45="0"),0,IF(AND(D10="L",D45="L",'Table 3B'!D10="L",'Table 3B'!D45="L",'Table 3C'!D10="L",'Table 3C'!D45="L",'Table 3D'!D10="L",'Table 3D'!D45="L",'Table 3E'!D10="L",'Table 3E'!D45="L"),"NC",IF(D10="M",0,D10)+IF(D45="M",0,D45)-(IF('Table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3E'!D45))))</f>
        <v>0</v>
      </c>
      <c r="E75" s="364">
        <f>IF(AND(E10="0",E45="0",'Table 3B'!E10="0",'Table 3B'!E45="0",'Table 3C'!E10="0",'Table 3C'!E45="0",'Table 3D'!E10="0",'Table 3D'!E45="0",'Table 3E'!E10="0",'Table 3E'!E45="0"),0,IF(AND(E10="L",E45="L",'Table 3B'!E10="L",'Table 3B'!E45="L",'Table 3C'!E10="L",'Table 3C'!E45="L",'Table 3D'!E10="L",'Table 3D'!E45="L",'Table 3E'!E10="L",'Table 3E'!E45="L"),"NC",IF(E10="M",0,E10)+IF(E45="M",0,E45)-(IF('Table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3E'!E45))))</f>
        <v>0</v>
      </c>
      <c r="F75" s="364">
        <f>IF(AND(F10="0",F45="0",'Table 3B'!F10="0",'Table 3B'!F45="0",'Table 3C'!F10="0",'Table 3C'!F45="0",'Table 3D'!F10="0",'Table 3D'!F45="0",'Table 3E'!F10="0",'Table 3E'!F45="0"),0,IF(AND(F10="L",F45="L",'Table 3B'!F10="L",'Table 3B'!F45="L",'Table 3C'!F10="L",'Table 3C'!F45="L",'Table 3D'!F10="L",'Table 3D'!F45="L",'Table 3E'!F10="L",'Table 3E'!F45="L"),"NC",IF(F10="M",0,F10)+IF(F45="M",0,F45)-(IF('Table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3E'!F45))))</f>
        <v>0</v>
      </c>
      <c r="G75" s="364">
        <f>IF(AND(G10="0",G45="0",'Table 3B'!G10="0",'Table 3B'!G45="0",'Table 3C'!G10="0",'Table 3C'!G45="0",'Table 3D'!G10="0",'Table 3D'!G45="0",'Table 3E'!G10="0",'Table 3E'!G45="0"),0,IF(AND(G10="L",G45="L",'Table 3B'!G10="L",'Table 3B'!G45="L",'Table 3C'!G10="L",'Table 3C'!G45="L",'Table 3D'!G10="L",'Table 3D'!G45="L",'Table 3E'!G10="L",'Table 3E'!G45="L"),"NC",IF(G10="M",0,G10)+IF(G45="M",0,G45)-(IF('Table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3E'!G45))))</f>
        <v>-1.1641532182693481E-10</v>
      </c>
      <c r="H75" s="364">
        <f>IF(AND(H10="0",H45="0",'Table 3B'!H10="0",'Table 3B'!H45="0",'Table 3C'!H10="0",'Table 3C'!H45="0",'Table 3D'!H10="0",'Table 3D'!H45="0",'Table 3E'!H10="0",'Table 3E'!H45="0"),0,IF(AND(H10="L",H45="L",'Table 3B'!H10="L",'Table 3B'!H45="L",'Table 3C'!H10="L",'Table 3C'!H45="L",'Table 3D'!H10="L",'Table 3D'!H45="L",'Table 3E'!H10="L",'Table 3E'!H45="L"),"NC",IF(H10="M",0,H10)+IF(H45="M",0,H45)-(IF('Table 3B'!H10="M",0,'Table 3B'!H10)+IF('Table 3B'!H45="M",0,'Table 3B'!H45))-(IF('Table 3C'!H10="M",0,'Table 3C'!H10)+IF('Table 3C'!H45="M",0,'Table 3C'!H45))-(IF('Table 3D'!H10="M",0,'Table 3D'!H10)+IF('Table 3D'!H45="M",0,'Table 3D'!H45))-(IF('Table 3E'!H10="M",0,'Table 3E'!H10)+IF('Table 3E'!H45="M",0,'Table 3E'!H45))))</f>
        <v>-7.2759576141834259E-12</v>
      </c>
      <c r="I75" s="364">
        <f>IF(AND(I10="0",I45="0",'Table 3B'!I10="0",'Table 3B'!I45="0",'Table 3C'!I10="0",'Table 3C'!I45="0",'Table 3D'!I10="0",'Table 3D'!I45="0",'Table 3E'!I10="0",'Table 3E'!I45="0"),0,IF(AND(I10="L",I45="L",'Table 3B'!I10="L",'Table 3B'!I45="L",'Table 3C'!I10="L",'Table 3C'!I45="L",'Table 3D'!I10="L",'Table 3D'!I45="L",'Table 3E'!I10="L",'Table 3E'!I45="L"),"NC",IF(I10="M",0,I10)+IF(I45="M",0,I45)-(IF('Table 3B'!I10="M",0,'Table 3B'!I10)+IF('Table 3B'!I45="M",0,'Table 3B'!I45))-(IF('Table 3C'!I10="M",0,'Table 3C'!I10)+IF('Table 3C'!I45="M",0,'Table 3C'!I45))-(IF('Table 3D'!I10="M",0,'Table 3D'!I10)+IF('Table 3D'!I45="M",0,'Table 3D'!I45))-(IF('Table 3E'!I10="M",0,'Table 3E'!I10)+IF('Table 3E'!I45="M",0,'Table 3E'!I45))))</f>
        <v>6.184563972055912E-11</v>
      </c>
      <c r="J75" s="364">
        <f>IF(AND(J10="0",J45="0",'Table 3B'!J10="0",'Table 3B'!J45="0",'Table 3C'!J10="0",'Table 3C'!J45="0",'Table 3D'!J10="0",'Table 3D'!J45="0",'Table 3E'!J10="0",'Table 3E'!J45="0"),0,IF(AND(J10="L",J45="L",'Table 3B'!J10="L",'Table 3B'!J45="L",'Table 3C'!J10="L",'Table 3C'!J45="L",'Table 3D'!J10="L",'Table 3D'!J45="L",'Table 3E'!J10="L",'Table 3E'!J45="L"),"NC",IF(J10="M",0,J10)+IF(J45="M",0,J45)-(IF('Table 3B'!J10="M",0,'Table 3B'!J10)+IF('Table 3B'!J45="M",0,'Table 3B'!J45))-(IF('Table 3C'!J10="M",0,'Table 3C'!J10)+IF('Table 3C'!J45="M",0,'Table 3C'!J45))-(IF('Table 3D'!J10="M",0,'Table 3D'!J10)+IF('Table 3D'!J45="M",0,'Table 3D'!J45))-(IF('Table 3E'!J10="M",0,'Table 3E'!J10)+IF('Table 3E'!J45="M",0,'Table 3E'!J45))))</f>
        <v>7.2759576141834259E-12</v>
      </c>
      <c r="K75" s="364">
        <f>IF(AND(K10="0",K45="0",'Table 3B'!K10="0",'Table 3B'!K45="0",'Table 3C'!K10="0",'Table 3C'!K45="0",'Table 3D'!K10="0",'Table 3D'!K45="0",'Table 3E'!K10="0",'Table 3E'!K45="0"),0,IF(AND(K10="L",K45="L",'Table 3B'!K10="L",'Table 3B'!K45="L",'Table 3C'!K10="L",'Table 3C'!K45="L",'Table 3D'!K10="L",'Table 3D'!K45="L",'Table 3E'!K10="L",'Table 3E'!K45="L"),"NC",IF(K10="M",0,K10)+IF(K45="M",0,K45)-(IF('Table 3B'!K10="M",0,'Table 3B'!K10)+IF('Table 3B'!K45="M",0,'Table 3B'!K45))-(IF('Table 3C'!K10="M",0,'Table 3C'!K10)+IF('Table 3C'!K45="M",0,'Table 3C'!K45))-(IF('Table 3D'!K10="M",0,'Table 3D'!K10)+IF('Table 3D'!K45="M",0,'Table 3D'!K45))-(IF('Table 3E'!K10="M",0,'Table 3E'!K10)+IF('Table 3E'!K45="M",0,'Table 3E'!K45))))</f>
        <v>4.6566128730773926E-10</v>
      </c>
      <c r="L75" s="364">
        <f>IF(AND(L10="0",L45="0",'Table 3B'!L10="0",'Table 3B'!L45="0",'Table 3C'!L10="0",'Table 3C'!L45="0",'Table 3D'!L10="0",'Table 3D'!L45="0",'Table 3E'!L10="0",'Table 3E'!L45="0"),0,IF(AND(L10="L",L45="L",'Table 3B'!L10="L",'Table 3B'!L45="L",'Table 3C'!L10="L",'Table 3C'!L45="L",'Table 3D'!L10="L",'Table 3D'!L45="L",'Table 3E'!L10="L",'Table 3E'!L45="L"),"NC",IF(L10="M",0,L10)+IF(L45="M",0,L45)-(IF('Table 3B'!L10="M",0,'Table 3B'!L10)+IF('Table 3B'!L45="M",0,'Table 3B'!L45))-(IF('Table 3C'!L10="M",0,'Table 3C'!L10)+IF('Table 3C'!L45="M",0,'Table 3C'!L45))-(IF('Table 3D'!L10="M",0,'Table 3D'!L10)+IF('Table 3D'!L45="M",0,'Table 3D'!L45))-(IF('Table 3E'!L10="M",0,'Table 3E'!L10)+IF('Table 3E'!L45="M",0,'Table 3E'!L45))))</f>
        <v>-4.6566128730773926E-10</v>
      </c>
      <c r="M75" s="364">
        <f>IF(AND(M10="0",M45="0",'Table 3B'!M10="0",'Table 3B'!M45="0",'Table 3C'!M10="0",'Table 3C'!M45="0",'Table 3D'!M10="0",'Table 3D'!M45="0",'Table 3E'!M10="0",'Table 3E'!M45="0"),0,IF(AND(M10="L",M45="L",'Table 3B'!M10="L",'Table 3B'!M45="L",'Table 3C'!M10="L",'Table 3C'!M45="L",'Table 3D'!M10="L",'Table 3D'!M45="L",'Table 3E'!M10="L",'Table 3E'!M45="L"),"NC",IF(M10="M",0,M10)+IF(M45="M",0,M45)-(IF('Table 3B'!M10="M",0,'Table 3B'!M10)+IF('Table 3B'!M45="M",0,'Table 3B'!M45))-(IF('Table 3C'!M10="M",0,'Table 3C'!M10)+IF('Table 3C'!M45="M",0,'Table 3C'!M45))-(IF('Table 3D'!M10="M",0,'Table 3D'!M10)+IF('Table 3D'!M45="M",0,'Table 3D'!M45))-(IF('Table 3E'!M10="M",0,'Table 3E'!M10)+IF('Table 3E'!M45="M",0,'Table 3E'!M45))))</f>
        <v>-2.9103830456733704E-11</v>
      </c>
      <c r="N75" s="364">
        <f>IF(AND(N10="0",N45="0",'Table 3B'!N10="0",'Table 3B'!N45="0",'Table 3C'!N10="0",'Table 3C'!N45="0",'Table 3D'!N10="0",'Table 3D'!N45="0",'Table 3E'!N10="0",'Table 3E'!N45="0"),0,IF(AND(N10="L",N45="L",'Table 3B'!N10="L",'Table 3B'!N45="L",'Table 3C'!N10="L",'Table 3C'!N45="L",'Table 3D'!N10="L",'Table 3D'!N45="L",'Table 3E'!N10="L",'Table 3E'!N45="L"),"NC",IF(N10="M",0,N10)+IF(N45="M",0,N45)-(IF('Table 3B'!N10="M",0,'Table 3B'!N10)+IF('Table 3B'!N45="M",0,'Table 3B'!N45))-(IF('Table 3C'!N10="M",0,'Table 3C'!N10)+IF('Table 3C'!N45="M",0,'Table 3C'!N45))-(IF('Table 3D'!N10="M",0,'Table 3D'!N10)+IF('Table 3D'!N45="M",0,'Table 3D'!N45))-(IF('Table 3E'!N10="M",0,'Table 3E'!N10)+IF('Table 3E'!N45="M",0,'Table 3E'!N45))))</f>
        <v>-2.255546860396862E-10</v>
      </c>
      <c r="O75" s="364">
        <f>IF(AND(O10="0",O45="0",'Table 3B'!O10="0",'Table 3B'!O45="0",'Table 3C'!O10="0",'Table 3C'!O45="0",'Table 3D'!O10="0",'Table 3D'!O45="0",'Table 3E'!O10="0",'Table 3E'!O45="0"),0,IF(AND(O10="L",O45="L",'Table 3B'!O10="L",'Table 3B'!O45="L",'Table 3C'!O10="L",'Table 3C'!O45="L",'Table 3D'!O10="L",'Table 3D'!O45="L",'Table 3E'!O10="L",'Table 3E'!O45="L"),"NC",IF(O10="M",0,O10)+IF(O45="M",0,O45)-(IF('Table 3B'!O10="M",0,'Table 3B'!O10)+IF('Table 3B'!O45="M",0,'Table 3B'!O45))-(IF('Table 3C'!O10="M",0,'Table 3C'!O10)+IF('Table 3C'!O45="M",0,'Table 3C'!O45))-(IF('Table 3D'!O10="M",0,'Table 3D'!O10)+IF('Table 3D'!O45="M",0,'Table 3D'!O45))-(IF('Table 3E'!O10="M",0,'Table 3E'!O10)+IF('Table 3E'!O45="M",0,'Table 3E'!O45))))</f>
        <v>4.0745362639427185E-10</v>
      </c>
      <c r="P75" s="364">
        <f>IF(AND(P10="0",P45="0",'Table 3B'!P10="0",'Table 3B'!P45="0",'Table 3C'!P10="0",'Table 3C'!P45="0",'Table 3D'!P10="0",'Table 3D'!P45="0",'Table 3E'!P10="0",'Table 3E'!P45="0"),0,IF(AND(P10="L",P45="L",'Table 3B'!P10="L",'Table 3B'!P45="L",'Table 3C'!P10="L",'Table 3C'!P45="L",'Table 3D'!P10="L",'Table 3D'!P45="L",'Table 3E'!P10="L",'Table 3E'!P45="L"),"NC",IF(P10="M",0,P10)+IF(P45="M",0,P45)-(IF('Table 3B'!P10="M",0,'Table 3B'!P10)+IF('Table 3B'!P45="M",0,'Table 3B'!P45))-(IF('Table 3C'!P10="M",0,'Table 3C'!P10)+IF('Table 3C'!P45="M",0,'Table 3C'!P45))-(IF('Table 3D'!P10="M",0,'Table 3D'!P10)+IF('Table 3D'!P45="M",0,'Table 3D'!P45))-(IF('Table 3E'!P10="M",0,'Table 3E'!P10)+IF('Table 3E'!P45="M",0,'Table 3E'!P45))))</f>
        <v>2.3283064365386963E-10</v>
      </c>
      <c r="Q75" s="364">
        <f>IF(AND(Q10="0",Q45="0",'Table 3B'!Q10="0",'Table 3B'!Q45="0",'Table 3C'!Q10="0",'Table 3C'!Q45="0",'Table 3D'!Q10="0",'Table 3D'!Q45="0",'Table 3E'!Q10="0",'Table 3E'!Q45="0"),0,IF(AND(Q10="L",Q45="L",'Table 3B'!Q10="L",'Table 3B'!Q45="L",'Table 3C'!Q10="L",'Table 3C'!Q45="L",'Table 3D'!Q10="L",'Table 3D'!Q45="L",'Table 3E'!Q10="L",'Table 3E'!Q45="L"),"NC",IF(Q10="M",0,Q10)+IF(Q45="M",0,Q45)-(IF('Table 3B'!Q10="M",0,'Table 3B'!Q10)+IF('Table 3B'!Q45="M",0,'Table 3B'!Q45))-(IF('Table 3C'!Q10="M",0,'Table 3C'!Q10)+IF('Table 3C'!Q45="M",0,'Table 3C'!Q45))-(IF('Table 3D'!Q10="M",0,'Table 3D'!Q10)+IF('Table 3D'!Q45="M",0,'Table 3D'!Q45))-(IF('Table 3E'!Q10="M",0,'Table 3E'!Q10)+IF('Table 3E'!Q45="M",0,'Table 3E'!Q45))))</f>
        <v>1.1641532182693481E-10</v>
      </c>
      <c r="R75" s="364">
        <f>IF(AND(R10="0",R45="0",'Table 3B'!R10="0",'Table 3B'!R45="0",'Table 3C'!R10="0",'Table 3C'!R45="0",'Table 3D'!R10="0",'Table 3D'!R45="0",'Table 3E'!R10="0",'Table 3E'!R45="0"),0,IF(AND(R10="L",R45="L",'Table 3B'!R10="L",'Table 3B'!R45="L",'Table 3C'!R10="L",'Table 3C'!R45="L",'Table 3D'!R10="L",'Table 3D'!R45="L",'Table 3E'!R10="L",'Table 3E'!R45="L"),"NC",IF(R10="M",0,R10)+IF(R45="M",0,R45)-(IF('Table 3B'!R10="M",0,'Table 3B'!R10)+IF('Table 3B'!R45="M",0,'Table 3B'!R45))-(IF('Table 3C'!R10="M",0,'Table 3C'!R10)+IF('Table 3C'!R45="M",0,'Table 3C'!R45))-(IF('Table 3D'!R10="M",0,'Table 3D'!R10)+IF('Table 3D'!R45="M",0,'Table 3D'!R45))-(IF('Table 3E'!R10="M",0,'Table 3E'!R10)+IF('Table 3E'!R45="M",0,'Table 3E'!R45))))</f>
        <v>0</v>
      </c>
      <c r="S75" s="364">
        <f>IF(AND(S10="0",S45="0",'Table 3B'!S10="0",'Table 3B'!S45="0",'Table 3C'!S10="0",'Table 3C'!S45="0",'Table 3D'!S10="0",'Table 3D'!S45="0",'Table 3E'!S10="0",'Table 3E'!S45="0"),0,IF(AND(S10="L",S45="L",'Table 3B'!S10="L",'Table 3B'!S45="L",'Table 3C'!S10="L",'Table 3C'!S45="L",'Table 3D'!S10="L",'Table 3D'!S45="L",'Table 3E'!S10="L",'Table 3E'!S45="L"),"NC",IF(S10="M",0,S10)+IF(S45="M",0,S45)-(IF('Table 3B'!S10="M",0,'Table 3B'!S10)+IF('Table 3B'!S45="M",0,'Table 3B'!S45))-(IF('Table 3C'!S10="M",0,'Table 3C'!S10)+IF('Table 3C'!S45="M",0,'Table 3C'!S45))-(IF('Table 3D'!S10="M",0,'Table 3D'!S10)+IF('Table 3D'!S45="M",0,'Table 3D'!S45))-(IF('Table 3E'!S10="M",0,'Table 3E'!S10)+IF('Table 3E'!S45="M",0,'Table 3E'!S45))))</f>
        <v>-9.4587448984384537E-11</v>
      </c>
      <c r="T75" s="364">
        <f>IF(AND(T10="0",T45="0",'Table 3B'!T10="0",'Table 3B'!T45="0",'Table 3C'!T10="0",'Table 3C'!T45="0",'Table 3D'!T10="0",'Table 3D'!T45="0",'Table 3E'!T10="0",'Table 3E'!T45="0"),0,IF(AND(T10="L",T45="L",'Table 3B'!T10="L",'Table 3B'!T45="L",'Table 3C'!T10="L",'Table 3C'!T45="L",'Table 3D'!T10="L",'Table 3D'!T45="L",'Table 3E'!T10="L",'Table 3E'!T45="L"),"NC",IF(T10="M",0,T10)+IF(T45="M",0,T45)-(IF('Table 3B'!T10="M",0,'Table 3B'!T10)+IF('Table 3B'!T45="M",0,'Table 3B'!T45))-(IF('Table 3C'!T10="M",0,'Table 3C'!T10)+IF('Table 3C'!T45="M",0,'Table 3C'!T45))-(IF('Table 3D'!T10="M",0,'Table 3D'!T10)+IF('Table 3D'!T45="M",0,'Table 3D'!T45))-(IF('Table 3E'!T10="M",0,'Table 3E'!T10)+IF('Table 3E'!T45="M",0,'Table 3E'!T45))))</f>
        <v>6.9485395215451717E-10</v>
      </c>
      <c r="U75" s="364">
        <f>IF(AND(U10="0",U45="0",'Table 3B'!U10="0",'Table 3B'!U45="0",'Table 3C'!U10="0",'Table 3C'!U45="0",'Table 3D'!U10="0",'Table 3D'!U45="0",'Table 3E'!U10="0",'Table 3E'!U45="0"),0,IF(AND(U10="L",U45="L",'Table 3B'!U10="L",'Table 3B'!U45="L",'Table 3C'!U10="L",'Table 3C'!U45="L",'Table 3D'!U10="L",'Table 3D'!U45="L",'Table 3E'!U10="L",'Table 3E'!U45="L"),"NC",IF(U10="M",0,U10)+IF(U45="M",0,U45)-(IF('Table 3B'!U10="M",0,'Table 3B'!U10)+IF('Table 3B'!U45="M",0,'Table 3B'!U45))-(IF('Table 3C'!U10="M",0,'Table 3C'!U10)+IF('Table 3C'!U45="M",0,'Table 3C'!U45))-(IF('Table 3D'!U10="M",0,'Table 3D'!U10)+IF('Table 3D'!U45="M",0,'Table 3D'!U45))-(IF('Table 3E'!U10="M",0,'Table 3E'!U10)+IF('Table 3E'!U45="M",0,'Table 3E'!U45))))</f>
        <v>0</v>
      </c>
      <c r="V75" s="364">
        <f>IF(AND(V10="0",V45="0",'Table 3B'!V10="0",'Table 3B'!V45="0",'Table 3C'!V10="0",'Table 3C'!V45="0",'Table 3D'!V10="0",'Table 3D'!V45="0",'Table 3E'!V10="0",'Table 3E'!V45="0"),0,IF(AND(V10="L",V45="L",'Table 3B'!V10="L",'Table 3B'!V45="L",'Table 3C'!V10="L",'Table 3C'!V45="L",'Table 3D'!V10="L",'Table 3D'!V45="L",'Table 3E'!V10="L",'Table 3E'!V45="L"),"NC",IF(V10="M",0,V10)+IF(V45="M",0,V45)-(IF('Table 3B'!V10="M",0,'Table 3B'!V10)+IF('Table 3B'!V45="M",0,'Table 3B'!V45))-(IF('Table 3C'!V10="M",0,'Table 3C'!V10)+IF('Table 3C'!V45="M",0,'Table 3C'!V45))-(IF('Table 3D'!V10="M",0,'Table 3D'!V10)+IF('Table 3D'!V45="M",0,'Table 3D'!V45))-(IF('Table 3E'!V10="M",0,'Table 3E'!V10)+IF('Table 3E'!V45="M",0,'Table 3E'!V45))))</f>
        <v>0</v>
      </c>
      <c r="W75" s="364">
        <f>IF(AND(W10="0",W45="0",'Table 3B'!W10="0",'Table 3B'!W45="0",'Table 3C'!W10="0",'Table 3C'!W45="0",'Table 3D'!W10="0",'Table 3D'!W45="0",'Table 3E'!W10="0",'Table 3E'!W45="0"),0,IF(AND(W10="L",W45="L",'Table 3B'!W10="L",'Table 3B'!W45="L",'Table 3C'!W10="L",'Table 3C'!W45="L",'Table 3D'!W10="L",'Table 3D'!W45="L",'Table 3E'!W10="L",'Table 3E'!W45="L"),"NC",IF(W10="M",0,W10)+IF(W45="M",0,W45)-(IF('Table 3B'!W10="M",0,'Table 3B'!W10)+IF('Table 3B'!W45="M",0,'Table 3B'!W45))-(IF('Table 3C'!W10="M",0,'Table 3C'!W10)+IF('Table 3C'!W45="M",0,'Table 3C'!W45))-(IF('Table 3D'!W10="M",0,'Table 3D'!W10)+IF('Table 3D'!W45="M",0,'Table 3D'!W45))-(IF('Table 3E'!W10="M",0,'Table 3E'!W10)+IF('Table 3E'!W45="M",0,'Table 3E'!W45))))</f>
        <v>1.1641532182693481E-10</v>
      </c>
      <c r="X75" s="364">
        <f>IF(AND(X10="0",X45="0",'Table 3B'!X10="0",'Table 3B'!X45="0",'Table 3C'!X10="0",'Table 3C'!X45="0",'Table 3D'!X10="0",'Table 3D'!X45="0",'Table 3E'!X10="0",'Table 3E'!X45="0"),0,IF(AND(X10="L",X45="L",'Table 3B'!X10="L",'Table 3B'!X45="L",'Table 3C'!X10="L",'Table 3C'!X45="L",'Table 3D'!X10="L",'Table 3D'!X45="L",'Table 3E'!X10="L",'Table 3E'!X45="L"),"NC",IF(X10="M",0,X10)+IF(X45="M",0,X45)-(IF('Table 3B'!X10="M",0,'Table 3B'!X10)+IF('Table 3B'!X45="M",0,'Table 3B'!X45))-(IF('Table 3C'!X10="M",0,'Table 3C'!X10)+IF('Table 3C'!X45="M",0,'Table 3C'!X45))-(IF('Table 3D'!X10="M",0,'Table 3D'!X10)+IF('Table 3D'!X45="M",0,'Table 3D'!X45))-(IF('Table 3E'!X10="M",0,'Table 3E'!X10)+IF('Table 3E'!X45="M",0,'Table 3E'!X45))))</f>
        <v>-1.1641532182693481E-10</v>
      </c>
      <c r="Y75" s="321"/>
      <c r="Z75" s="322"/>
    </row>
  </sheetData>
  <sheetProtection algorithmName="SHA-512" hashValue="c1FA0HdZPNlDm3JptrGtowq6dcPuNMoRMmJptzEZEd24DKMA5lDVxvmrhU0EAMapO591QsBq0JR/D1vs+QNyzA==" saltValue="3itWbBdnWRmmGjiiPB6zbw==" spinCount="100000" sheet="1" objects="1" formatColumns="0" formatRows="0" insertHyperlinks="0"/>
  <mergeCells count="2">
    <mergeCell ref="D6:X6"/>
    <mergeCell ref="D59:X59"/>
  </mergeCells>
  <phoneticPr fontId="35" type="noConversion"/>
  <conditionalFormatting sqref="D10:X10 D13:X29 D32:X34 D36:X38 D40:X42 D44:X46 D48:X48">
    <cfRule type="cellIs" dxfId="11" priority="3" operator="equal">
      <formula>""</formula>
    </cfRule>
  </conditionalFormatting>
  <conditionalFormatting sqref="D59">
    <cfRule type="expression" dxfId="10" priority="173" stopIfTrue="1">
      <formula>COUNTA(D10:V10,D12:V29,D31:V34,D36:V38,D40:V42,D44:V46,D48:V48)/627*100&lt;&gt;100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BB77"/>
  <sheetViews>
    <sheetView showGridLines="0" defaultGridColor="0" topLeftCell="B1" colorId="22" zoomScale="85" zoomScaleNormal="85" zoomScaleSheetLayoutView="80" workbookViewId="0"/>
  </sheetViews>
  <sheetFormatPr defaultColWidth="9.77734375" defaultRowHeight="15"/>
  <cols>
    <col min="1" max="1" width="31.6640625" style="30" hidden="1" customWidth="1"/>
    <col min="2" max="2" width="38.77734375" style="20" customWidth="1"/>
    <col min="3" max="3" width="68" style="28" customWidth="1"/>
    <col min="4" max="24" width="13.33203125" style="23" customWidth="1"/>
    <col min="25" max="25" width="86.6640625" style="23" customWidth="1"/>
    <col min="26" max="26" width="5.33203125" style="23" customWidth="1"/>
    <col min="27" max="27" width="1" style="23" customWidth="1"/>
    <col min="28" max="28" width="0.5546875" style="23" customWidth="1"/>
    <col min="29" max="29" width="9.77734375" style="23"/>
    <col min="30" max="33" width="5.77734375" style="23" customWidth="1"/>
    <col min="34" max="53" width="9.77734375" style="23"/>
    <col min="54" max="54" width="9.77734375" style="315"/>
    <col min="55" max="16384" width="9.77734375" style="23"/>
  </cols>
  <sheetData>
    <row r="1" spans="1:54">
      <c r="A1" s="284"/>
      <c r="B1" s="220"/>
      <c r="C1" s="366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AC1" s="219" t="s">
        <v>1014</v>
      </c>
      <c r="AD1" s="219">
        <v>3</v>
      </c>
      <c r="AE1" s="219">
        <v>4</v>
      </c>
      <c r="AF1" s="219">
        <v>5</v>
      </c>
      <c r="AG1" s="219">
        <v>6</v>
      </c>
      <c r="AH1" s="219">
        <f>AG1+1</f>
        <v>7</v>
      </c>
      <c r="AI1" s="219">
        <f t="shared" ref="AI1:AT1" si="0">AH1+1</f>
        <v>8</v>
      </c>
      <c r="AJ1" s="219">
        <f t="shared" si="0"/>
        <v>9</v>
      </c>
      <c r="AK1" s="219">
        <f t="shared" si="0"/>
        <v>10</v>
      </c>
      <c r="AL1" s="219">
        <f t="shared" si="0"/>
        <v>11</v>
      </c>
      <c r="AM1" s="219">
        <f t="shared" si="0"/>
        <v>12</v>
      </c>
      <c r="AN1" s="219">
        <f t="shared" si="0"/>
        <v>13</v>
      </c>
      <c r="AO1" s="219">
        <f t="shared" si="0"/>
        <v>14</v>
      </c>
      <c r="AP1" s="219">
        <f t="shared" si="0"/>
        <v>15</v>
      </c>
      <c r="AQ1" s="219">
        <f t="shared" si="0"/>
        <v>16</v>
      </c>
      <c r="AR1" s="219">
        <f t="shared" si="0"/>
        <v>17</v>
      </c>
      <c r="AS1" s="219">
        <f t="shared" si="0"/>
        <v>18</v>
      </c>
      <c r="AT1" s="219">
        <f t="shared" si="0"/>
        <v>19</v>
      </c>
    </row>
    <row r="2" spans="1:54" ht="18">
      <c r="A2" s="284"/>
      <c r="B2" s="284" t="s">
        <v>35</v>
      </c>
      <c r="C2" s="293" t="s">
        <v>586</v>
      </c>
      <c r="D2" s="223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AB2" s="13"/>
      <c r="AC2" s="219">
        <f>IF($AC$1='Cover page'!$N$2,0,1)</f>
        <v>0</v>
      </c>
    </row>
    <row r="3" spans="1:54" ht="18">
      <c r="A3" s="284"/>
      <c r="B3" s="284"/>
      <c r="C3" s="293" t="s">
        <v>57</v>
      </c>
      <c r="D3" s="223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AB3" s="13"/>
    </row>
    <row r="4" spans="1:54" ht="16.5" thickBot="1">
      <c r="A4" s="284"/>
      <c r="B4" s="284"/>
      <c r="C4" s="344"/>
      <c r="D4" s="367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AB4" s="13"/>
    </row>
    <row r="5" spans="1:54" ht="16.5" thickTop="1">
      <c r="A5" s="286"/>
      <c r="B5" s="326"/>
      <c r="C5" s="296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40"/>
      <c r="Z5" s="41"/>
      <c r="AB5" s="13"/>
    </row>
    <row r="6" spans="1:54" ht="15.75">
      <c r="A6" s="234"/>
      <c r="B6" s="231"/>
      <c r="C6" s="224" t="str">
        <f>'Cover page'!E13</f>
        <v>Member State: Hungary</v>
      </c>
      <c r="D6" s="538" t="s">
        <v>2</v>
      </c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39"/>
      <c r="S6" s="539"/>
      <c r="T6" s="539"/>
      <c r="U6" s="539"/>
      <c r="V6" s="539"/>
      <c r="W6" s="539"/>
      <c r="X6" s="539"/>
      <c r="Y6" s="43"/>
      <c r="Z6" s="50"/>
    </row>
    <row r="7" spans="1:54" ht="15.75">
      <c r="A7" s="234"/>
      <c r="B7" s="327" t="s">
        <v>485</v>
      </c>
      <c r="C7" s="22" t="s">
        <v>1018</v>
      </c>
      <c r="D7" s="299">
        <f>'Table 1'!E5</f>
        <v>1995</v>
      </c>
      <c r="E7" s="299">
        <f>D7+1</f>
        <v>1996</v>
      </c>
      <c r="F7" s="299">
        <f t="shared" ref="F7:I7" si="1">E7+1</f>
        <v>1997</v>
      </c>
      <c r="G7" s="299">
        <f t="shared" si="1"/>
        <v>1998</v>
      </c>
      <c r="H7" s="299">
        <f t="shared" si="1"/>
        <v>1999</v>
      </c>
      <c r="I7" s="299">
        <f t="shared" si="1"/>
        <v>2000</v>
      </c>
      <c r="J7" s="299">
        <f t="shared" ref="J7" si="2">I7+1</f>
        <v>2001</v>
      </c>
      <c r="K7" s="299">
        <f t="shared" ref="K7" si="3">J7+1</f>
        <v>2002</v>
      </c>
      <c r="L7" s="299">
        <f t="shared" ref="L7" si="4">K7+1</f>
        <v>2003</v>
      </c>
      <c r="M7" s="299">
        <f t="shared" ref="M7" si="5">L7+1</f>
        <v>2004</v>
      </c>
      <c r="N7" s="299">
        <f t="shared" ref="N7" si="6">M7+1</f>
        <v>2005</v>
      </c>
      <c r="O7" s="299">
        <f t="shared" ref="O7" si="7">N7+1</f>
        <v>2006</v>
      </c>
      <c r="P7" s="299">
        <f t="shared" ref="P7" si="8">O7+1</f>
        <v>2007</v>
      </c>
      <c r="Q7" s="299">
        <f t="shared" ref="Q7" si="9">P7+1</f>
        <v>2008</v>
      </c>
      <c r="R7" s="299">
        <f t="shared" ref="R7" si="10">Q7+1</f>
        <v>2009</v>
      </c>
      <c r="S7" s="299">
        <f t="shared" ref="S7" si="11">R7+1</f>
        <v>2010</v>
      </c>
      <c r="T7" s="299">
        <f t="shared" ref="T7" si="12">S7+1</f>
        <v>2011</v>
      </c>
      <c r="U7" s="299">
        <f t="shared" ref="U7" si="13">T7+1</f>
        <v>2012</v>
      </c>
      <c r="V7" s="299">
        <f t="shared" ref="V7:X7" si="14">U7+1</f>
        <v>2013</v>
      </c>
      <c r="W7" s="299">
        <f t="shared" si="14"/>
        <v>2014</v>
      </c>
      <c r="X7" s="299">
        <f t="shared" si="14"/>
        <v>2015</v>
      </c>
      <c r="Y7" s="45"/>
      <c r="Z7" s="50"/>
    </row>
    <row r="8" spans="1:54" ht="15.75">
      <c r="A8" s="234"/>
      <c r="B8" s="288"/>
      <c r="C8" s="238" t="str">
        <f>'Cover page'!E14</f>
        <v>Date: 09/04/2020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487"/>
      <c r="W8" s="487"/>
      <c r="X8" s="487"/>
      <c r="Y8" s="55"/>
      <c r="Z8" s="50"/>
    </row>
    <row r="9" spans="1:54" ht="10.5" customHeight="1" thickBot="1">
      <c r="A9" s="234"/>
      <c r="B9" s="289"/>
      <c r="C9" s="79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88"/>
      <c r="W9" s="488"/>
      <c r="X9" s="488"/>
      <c r="Y9" s="63"/>
      <c r="Z9" s="50"/>
    </row>
    <row r="10" spans="1:54" ht="17.25" thickTop="1" thickBot="1">
      <c r="A10" s="290" t="s">
        <v>313</v>
      </c>
      <c r="B10" s="414" t="s">
        <v>835</v>
      </c>
      <c r="C10" s="312" t="s">
        <v>569</v>
      </c>
      <c r="D10" s="86">
        <v>509787.34100000001</v>
      </c>
      <c r="E10" s="86">
        <v>380253</v>
      </c>
      <c r="F10" s="86">
        <v>497290.83999999997</v>
      </c>
      <c r="G10" s="86">
        <v>708854.60909090913</v>
      </c>
      <c r="H10" s="86">
        <v>595541</v>
      </c>
      <c r="I10" s="86">
        <v>354854</v>
      </c>
      <c r="J10" s="86">
        <v>703875</v>
      </c>
      <c r="K10" s="86">
        <v>1332869</v>
      </c>
      <c r="L10" s="86">
        <v>1102996</v>
      </c>
      <c r="M10" s="86">
        <v>1270681</v>
      </c>
      <c r="N10" s="86">
        <v>1599693</v>
      </c>
      <c r="O10" s="86">
        <v>2439617</v>
      </c>
      <c r="P10" s="86">
        <v>1456874</v>
      </c>
      <c r="Q10" s="86">
        <v>968598</v>
      </c>
      <c r="R10" s="86">
        <v>1046412</v>
      </c>
      <c r="S10" s="86">
        <v>1032846</v>
      </c>
      <c r="T10" s="86">
        <v>1664946</v>
      </c>
      <c r="U10" s="86">
        <v>809602.23800000001</v>
      </c>
      <c r="V10" s="87">
        <v>1676570.5</v>
      </c>
      <c r="W10" s="87">
        <v>1394670.2132009999</v>
      </c>
      <c r="X10" s="87">
        <v>761145.64806399983</v>
      </c>
      <c r="Y10" s="4"/>
      <c r="Z10" s="50"/>
      <c r="BB10" s="315" t="str">
        <f>CountryCode &amp; ".T3.B9.S1311.MNAC." &amp; RefVintage</f>
        <v>HU.T3.B9.S1311.MNAC.W.2020</v>
      </c>
    </row>
    <row r="11" spans="1:54" ht="6" customHeight="1" thickTop="1">
      <c r="A11" s="290"/>
      <c r="B11" s="150"/>
      <c r="C11" s="352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88"/>
      <c r="X11" s="88"/>
      <c r="Y11" s="7"/>
      <c r="Z11" s="50"/>
    </row>
    <row r="12" spans="1:54" s="18" customFormat="1" ht="16.5" customHeight="1">
      <c r="A12" s="290" t="s">
        <v>314</v>
      </c>
      <c r="B12" s="414" t="s">
        <v>836</v>
      </c>
      <c r="C12" s="353" t="s">
        <v>93</v>
      </c>
      <c r="D12" s="213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399105</v>
      </c>
      <c r="E12" s="213">
        <f t="shared" si="15"/>
        <v>-182303</v>
      </c>
      <c r="F12" s="213">
        <f t="shared" si="15"/>
        <v>-255922</v>
      </c>
      <c r="G12" s="213">
        <f t="shared" si="15"/>
        <v>-204806</v>
      </c>
      <c r="H12" s="213">
        <f t="shared" si="15"/>
        <v>4589</v>
      </c>
      <c r="I12" s="213">
        <f t="shared" si="15"/>
        <v>-252689</v>
      </c>
      <c r="J12" s="213">
        <f t="shared" si="15"/>
        <v>341383</v>
      </c>
      <c r="K12" s="213">
        <f t="shared" si="15"/>
        <v>-9151</v>
      </c>
      <c r="L12" s="213">
        <f t="shared" si="15"/>
        <v>174108</v>
      </c>
      <c r="M12" s="213">
        <f t="shared" si="15"/>
        <v>394515</v>
      </c>
      <c r="N12" s="213">
        <f t="shared" si="15"/>
        <v>-420356</v>
      </c>
      <c r="O12" s="213">
        <f t="shared" si="15"/>
        <v>-520050</v>
      </c>
      <c r="P12" s="213">
        <f t="shared" si="15"/>
        <v>-200639</v>
      </c>
      <c r="Q12" s="213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1337440</v>
      </c>
      <c r="R12" s="213">
        <f t="shared" si="16"/>
        <v>-33213</v>
      </c>
      <c r="S12" s="213">
        <f t="shared" si="16"/>
        <v>-430540</v>
      </c>
      <c r="T12" s="213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1186464</v>
      </c>
      <c r="U12" s="213">
        <f t="shared" si="17"/>
        <v>-323752</v>
      </c>
      <c r="V12" s="213">
        <f t="shared" si="17"/>
        <v>-421976</v>
      </c>
      <c r="W12" s="213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349228</v>
      </c>
      <c r="X12" s="213">
        <f t="shared" si="18"/>
        <v>384195</v>
      </c>
      <c r="Y12" s="99"/>
      <c r="Z12" s="64"/>
      <c r="BB12" s="509" t="str">
        <f>CountryCode &amp; ".T3.FA.S1311.MNAC." &amp; RefVintage</f>
        <v>HU.T3.FA.S1311.MNAC.W.2020</v>
      </c>
    </row>
    <row r="13" spans="1:54" s="18" customFormat="1" ht="16.5" customHeight="1">
      <c r="A13" s="290" t="s">
        <v>315</v>
      </c>
      <c r="B13" s="414" t="s">
        <v>837</v>
      </c>
      <c r="C13" s="354" t="s">
        <v>61</v>
      </c>
      <c r="D13" s="100">
        <v>188988</v>
      </c>
      <c r="E13" s="100">
        <v>-195398</v>
      </c>
      <c r="F13" s="100">
        <v>-76153</v>
      </c>
      <c r="G13" s="100">
        <v>-156894</v>
      </c>
      <c r="H13" s="100">
        <v>170580</v>
      </c>
      <c r="I13" s="100">
        <v>-113090</v>
      </c>
      <c r="J13" s="100">
        <v>194113</v>
      </c>
      <c r="K13" s="100">
        <v>-332342</v>
      </c>
      <c r="L13" s="100">
        <v>33462</v>
      </c>
      <c r="M13" s="100">
        <v>275876</v>
      </c>
      <c r="N13" s="100">
        <v>-78200</v>
      </c>
      <c r="O13" s="100">
        <v>133164</v>
      </c>
      <c r="P13" s="100">
        <v>66904</v>
      </c>
      <c r="Q13" s="100">
        <v>1361562</v>
      </c>
      <c r="R13" s="100">
        <v>-673665</v>
      </c>
      <c r="S13" s="100">
        <v>-48488</v>
      </c>
      <c r="T13" s="100">
        <v>178751</v>
      </c>
      <c r="U13" s="100">
        <v>60462</v>
      </c>
      <c r="V13" s="100">
        <v>-474242</v>
      </c>
      <c r="W13" s="100">
        <v>117184</v>
      </c>
      <c r="X13" s="100">
        <v>-303924</v>
      </c>
      <c r="Y13" s="99"/>
      <c r="Z13" s="64"/>
      <c r="BB13" s="509" t="str">
        <f>CountryCode &amp; ".T3.F2.S1311.MNAC." &amp; RefVintage</f>
        <v>HU.T3.F2.S1311.MNAC.W.2020</v>
      </c>
    </row>
    <row r="14" spans="1:54" s="18" customFormat="1" ht="16.5" customHeight="1">
      <c r="A14" s="290" t="s">
        <v>316</v>
      </c>
      <c r="B14" s="414" t="s">
        <v>838</v>
      </c>
      <c r="C14" s="354" t="s">
        <v>473</v>
      </c>
      <c r="D14" s="100">
        <v>0</v>
      </c>
      <c r="E14" s="100">
        <v>0</v>
      </c>
      <c r="F14" s="100">
        <v>2415</v>
      </c>
      <c r="G14" s="100">
        <v>-2138</v>
      </c>
      <c r="H14" s="100">
        <v>-257</v>
      </c>
      <c r="I14" s="100">
        <v>155</v>
      </c>
      <c r="J14" s="100">
        <v>1434</v>
      </c>
      <c r="K14" s="100">
        <v>-1457</v>
      </c>
      <c r="L14" s="100">
        <v>877</v>
      </c>
      <c r="M14" s="100">
        <v>-4</v>
      </c>
      <c r="N14" s="100">
        <v>-9</v>
      </c>
      <c r="O14" s="100">
        <v>-195</v>
      </c>
      <c r="P14" s="100">
        <v>1334</v>
      </c>
      <c r="Q14" s="100">
        <v>-2012</v>
      </c>
      <c r="R14" s="100">
        <v>19</v>
      </c>
      <c r="S14" s="100">
        <v>13087</v>
      </c>
      <c r="T14" s="100">
        <v>54916</v>
      </c>
      <c r="U14" s="100">
        <v>47395</v>
      </c>
      <c r="V14" s="100">
        <v>54288</v>
      </c>
      <c r="W14" s="100">
        <v>-114167</v>
      </c>
      <c r="X14" s="100">
        <v>11</v>
      </c>
      <c r="Y14" s="99"/>
      <c r="Z14" s="64"/>
      <c r="BB14" s="509" t="str">
        <f>CountryCode &amp; ".T3.F3.S1311.MNAC." &amp; RefVintage</f>
        <v>HU.T3.F3.S1311.MNAC.W.2020</v>
      </c>
    </row>
    <row r="15" spans="1:54" s="18" customFormat="1" ht="16.5" customHeight="1">
      <c r="A15" s="290" t="s">
        <v>317</v>
      </c>
      <c r="B15" s="414" t="s">
        <v>839</v>
      </c>
      <c r="C15" s="354" t="s">
        <v>36</v>
      </c>
      <c r="D15" s="100">
        <v>24727</v>
      </c>
      <c r="E15" s="100">
        <v>-44243</v>
      </c>
      <c r="F15" s="100">
        <v>108007</v>
      </c>
      <c r="G15" s="100">
        <v>20582</v>
      </c>
      <c r="H15" s="100">
        <v>-47558</v>
      </c>
      <c r="I15" s="100">
        <v>-23848</v>
      </c>
      <c r="J15" s="100">
        <v>-43146</v>
      </c>
      <c r="K15" s="100">
        <v>130042</v>
      </c>
      <c r="L15" s="100">
        <v>216284</v>
      </c>
      <c r="M15" s="100">
        <v>86859</v>
      </c>
      <c r="N15" s="100">
        <v>118473</v>
      </c>
      <c r="O15" s="100">
        <v>-385343</v>
      </c>
      <c r="P15" s="100">
        <v>-259166</v>
      </c>
      <c r="Q15" s="100">
        <v>89545</v>
      </c>
      <c r="R15" s="100">
        <v>580134</v>
      </c>
      <c r="S15" s="100">
        <v>-335971</v>
      </c>
      <c r="T15" s="100">
        <v>-161615</v>
      </c>
      <c r="U15" s="100">
        <v>-46256</v>
      </c>
      <c r="V15" s="100">
        <v>-25295</v>
      </c>
      <c r="W15" s="100">
        <v>204369</v>
      </c>
      <c r="X15" s="100">
        <v>319202</v>
      </c>
      <c r="Y15" s="99"/>
      <c r="Z15" s="64"/>
      <c r="BB15" s="509" t="str">
        <f>CountryCode &amp; ".T3.F4.S1311.MNAC." &amp; RefVintage</f>
        <v>HU.T3.F4.S1311.MNAC.W.2020</v>
      </c>
    </row>
    <row r="16" spans="1:54" s="18" customFormat="1" ht="16.5" customHeight="1">
      <c r="A16" s="290" t="s">
        <v>318</v>
      </c>
      <c r="B16" s="414" t="s">
        <v>840</v>
      </c>
      <c r="C16" s="355" t="s">
        <v>55</v>
      </c>
      <c r="D16" s="101" t="s">
        <v>1147</v>
      </c>
      <c r="E16" s="102" t="s">
        <v>1147</v>
      </c>
      <c r="F16" s="102" t="s">
        <v>1147</v>
      </c>
      <c r="G16" s="102" t="s">
        <v>1147</v>
      </c>
      <c r="H16" s="102" t="s">
        <v>1147</v>
      </c>
      <c r="I16" s="102" t="s">
        <v>1147</v>
      </c>
      <c r="J16" s="102" t="s">
        <v>1147</v>
      </c>
      <c r="K16" s="102" t="s">
        <v>1147</v>
      </c>
      <c r="L16" s="102" t="s">
        <v>1147</v>
      </c>
      <c r="M16" s="102" t="s">
        <v>1147</v>
      </c>
      <c r="N16" s="102" t="s">
        <v>1147</v>
      </c>
      <c r="O16" s="102" t="s">
        <v>1147</v>
      </c>
      <c r="P16" s="102" t="s">
        <v>1147</v>
      </c>
      <c r="Q16" s="102" t="s">
        <v>1147</v>
      </c>
      <c r="R16" s="102" t="s">
        <v>1147</v>
      </c>
      <c r="S16" s="102" t="s">
        <v>1147</v>
      </c>
      <c r="T16" s="102" t="s">
        <v>1147</v>
      </c>
      <c r="U16" s="102" t="s">
        <v>1147</v>
      </c>
      <c r="V16" s="102" t="s">
        <v>1147</v>
      </c>
      <c r="W16" s="102" t="s">
        <v>1147</v>
      </c>
      <c r="X16" s="102" t="s">
        <v>1147</v>
      </c>
      <c r="Y16" s="99"/>
      <c r="Z16" s="64"/>
      <c r="BB16" s="509" t="str">
        <f>CountryCode &amp; ".T3.F4ACQ.S1311.MNAC." &amp; RefVintage</f>
        <v>HU.T3.F4ACQ.S1311.MNAC.W.2020</v>
      </c>
    </row>
    <row r="17" spans="1:54" s="18" customFormat="1" ht="16.5" customHeight="1">
      <c r="A17" s="290" t="s">
        <v>319</v>
      </c>
      <c r="B17" s="414" t="s">
        <v>841</v>
      </c>
      <c r="C17" s="355" t="s">
        <v>56</v>
      </c>
      <c r="D17" s="103" t="s">
        <v>1147</v>
      </c>
      <c r="E17" s="104" t="s">
        <v>1147</v>
      </c>
      <c r="F17" s="104" t="s">
        <v>1147</v>
      </c>
      <c r="G17" s="104" t="s">
        <v>1147</v>
      </c>
      <c r="H17" s="104" t="s">
        <v>1147</v>
      </c>
      <c r="I17" s="104" t="s">
        <v>1147</v>
      </c>
      <c r="J17" s="104" t="s">
        <v>1147</v>
      </c>
      <c r="K17" s="104" t="s">
        <v>1147</v>
      </c>
      <c r="L17" s="104" t="s">
        <v>1147</v>
      </c>
      <c r="M17" s="104" t="s">
        <v>1147</v>
      </c>
      <c r="N17" s="104" t="s">
        <v>1147</v>
      </c>
      <c r="O17" s="104" t="s">
        <v>1147</v>
      </c>
      <c r="P17" s="104" t="s">
        <v>1147</v>
      </c>
      <c r="Q17" s="104" t="s">
        <v>1147</v>
      </c>
      <c r="R17" s="104" t="s">
        <v>1147</v>
      </c>
      <c r="S17" s="104" t="s">
        <v>1147</v>
      </c>
      <c r="T17" s="104" t="s">
        <v>1147</v>
      </c>
      <c r="U17" s="104" t="s">
        <v>1147</v>
      </c>
      <c r="V17" s="104" t="s">
        <v>1147</v>
      </c>
      <c r="W17" s="104" t="s">
        <v>1147</v>
      </c>
      <c r="X17" s="104" t="s">
        <v>1147</v>
      </c>
      <c r="Y17" s="99"/>
      <c r="Z17" s="64"/>
      <c r="BB17" s="509" t="str">
        <f>CountryCode &amp; ".T3.F4DIS.S1311.MNAC." &amp; RefVintage</f>
        <v>HU.T3.F4DIS.S1311.MNAC.W.2020</v>
      </c>
    </row>
    <row r="18" spans="1:54" s="18" customFormat="1" ht="16.5" customHeight="1">
      <c r="A18" s="290" t="s">
        <v>320</v>
      </c>
      <c r="B18" s="414" t="s">
        <v>842</v>
      </c>
      <c r="C18" s="356" t="s">
        <v>87</v>
      </c>
      <c r="D18" s="100">
        <v>43081</v>
      </c>
      <c r="E18" s="100">
        <v>-34231</v>
      </c>
      <c r="F18" s="100">
        <v>75174</v>
      </c>
      <c r="G18" s="100">
        <v>2500</v>
      </c>
      <c r="H18" s="100">
        <v>-39739</v>
      </c>
      <c r="I18" s="100">
        <v>39815</v>
      </c>
      <c r="J18" s="100">
        <v>-47495</v>
      </c>
      <c r="K18" s="100">
        <v>113112</v>
      </c>
      <c r="L18" s="100">
        <v>239857</v>
      </c>
      <c r="M18" s="100">
        <v>59257</v>
      </c>
      <c r="N18" s="100">
        <v>31804</v>
      </c>
      <c r="O18" s="100">
        <v>-335598</v>
      </c>
      <c r="P18" s="100">
        <v>-123185</v>
      </c>
      <c r="Q18" s="100">
        <v>57117</v>
      </c>
      <c r="R18" s="100">
        <v>59022</v>
      </c>
      <c r="S18" s="100">
        <v>-97222</v>
      </c>
      <c r="T18" s="100">
        <v>-8639</v>
      </c>
      <c r="U18" s="100">
        <v>27272</v>
      </c>
      <c r="V18" s="100">
        <v>-107939</v>
      </c>
      <c r="W18" s="100">
        <v>18405</v>
      </c>
      <c r="X18" s="100">
        <v>7681</v>
      </c>
      <c r="Y18" s="99"/>
      <c r="Z18" s="64"/>
      <c r="BB18" s="509" t="str">
        <f>CountryCode &amp; ".T3.F41.S1311.MNAC." &amp; RefVintage</f>
        <v>HU.T3.F41.S1311.MNAC.W.2020</v>
      </c>
    </row>
    <row r="19" spans="1:54" s="18" customFormat="1" ht="16.5" customHeight="1">
      <c r="A19" s="290" t="s">
        <v>321</v>
      </c>
      <c r="B19" s="414" t="s">
        <v>843</v>
      </c>
      <c r="C19" s="356" t="s">
        <v>82</v>
      </c>
      <c r="D19" s="100">
        <v>-18354</v>
      </c>
      <c r="E19" s="100">
        <v>-10012</v>
      </c>
      <c r="F19" s="100">
        <v>32833</v>
      </c>
      <c r="G19" s="100">
        <v>18082</v>
      </c>
      <c r="H19" s="100">
        <v>-7819</v>
      </c>
      <c r="I19" s="100">
        <v>-63663</v>
      </c>
      <c r="J19" s="100">
        <v>4349</v>
      </c>
      <c r="K19" s="100">
        <v>16930</v>
      </c>
      <c r="L19" s="100">
        <v>-23573</v>
      </c>
      <c r="M19" s="100">
        <v>27602</v>
      </c>
      <c r="N19" s="100">
        <v>86669</v>
      </c>
      <c r="O19" s="100">
        <v>-49745</v>
      </c>
      <c r="P19" s="100">
        <v>-135981</v>
      </c>
      <c r="Q19" s="100">
        <v>32427.999999999996</v>
      </c>
      <c r="R19" s="100">
        <v>521111.99999999994</v>
      </c>
      <c r="S19" s="100">
        <v>-238749</v>
      </c>
      <c r="T19" s="100">
        <v>-152976</v>
      </c>
      <c r="U19" s="100">
        <v>-73528</v>
      </c>
      <c r="V19" s="100">
        <v>82644</v>
      </c>
      <c r="W19" s="100">
        <v>185964</v>
      </c>
      <c r="X19" s="100">
        <v>311521</v>
      </c>
      <c r="Y19" s="99"/>
      <c r="Z19" s="64"/>
      <c r="BB19" s="509" t="str">
        <f>CountryCode &amp; ".T3.F42.S1311.MNAC." &amp; RefVintage</f>
        <v>HU.T3.F42.S1311.MNAC.W.2020</v>
      </c>
    </row>
    <row r="20" spans="1:54" s="18" customFormat="1" ht="16.5" customHeight="1">
      <c r="A20" s="290" t="s">
        <v>322</v>
      </c>
      <c r="B20" s="414" t="s">
        <v>844</v>
      </c>
      <c r="C20" s="357" t="s">
        <v>78</v>
      </c>
      <c r="D20" s="105" t="s">
        <v>1147</v>
      </c>
      <c r="E20" s="106" t="s">
        <v>1147</v>
      </c>
      <c r="F20" s="106" t="s">
        <v>1147</v>
      </c>
      <c r="G20" s="106" t="s">
        <v>1147</v>
      </c>
      <c r="H20" s="106" t="s">
        <v>1147</v>
      </c>
      <c r="I20" s="106" t="s">
        <v>1147</v>
      </c>
      <c r="J20" s="106" t="s">
        <v>1147</v>
      </c>
      <c r="K20" s="106" t="s">
        <v>1147</v>
      </c>
      <c r="L20" s="106" t="s">
        <v>1147</v>
      </c>
      <c r="M20" s="106" t="s">
        <v>1147</v>
      </c>
      <c r="N20" s="106" t="s">
        <v>1147</v>
      </c>
      <c r="O20" s="106" t="s">
        <v>1147</v>
      </c>
      <c r="P20" s="106" t="s">
        <v>1147</v>
      </c>
      <c r="Q20" s="106" t="s">
        <v>1147</v>
      </c>
      <c r="R20" s="106" t="s">
        <v>1147</v>
      </c>
      <c r="S20" s="106" t="s">
        <v>1147</v>
      </c>
      <c r="T20" s="106" t="s">
        <v>1147</v>
      </c>
      <c r="U20" s="106" t="s">
        <v>1147</v>
      </c>
      <c r="V20" s="106" t="s">
        <v>1147</v>
      </c>
      <c r="W20" s="106" t="s">
        <v>1147</v>
      </c>
      <c r="X20" s="106" t="s">
        <v>1147</v>
      </c>
      <c r="Y20" s="99"/>
      <c r="Z20" s="64"/>
      <c r="BB20" s="509" t="str">
        <f>CountryCode &amp; ".T3.F42ACQ.S1311.MNAC." &amp; RefVintage</f>
        <v>HU.T3.F42ACQ.S1311.MNAC.W.2020</v>
      </c>
    </row>
    <row r="21" spans="1:54" s="18" customFormat="1" ht="16.5" customHeight="1">
      <c r="A21" s="290" t="s">
        <v>323</v>
      </c>
      <c r="B21" s="414" t="s">
        <v>845</v>
      </c>
      <c r="C21" s="357" t="s">
        <v>79</v>
      </c>
      <c r="D21" s="107" t="s">
        <v>1147</v>
      </c>
      <c r="E21" s="108" t="s">
        <v>1147</v>
      </c>
      <c r="F21" s="108" t="s">
        <v>1147</v>
      </c>
      <c r="G21" s="108" t="s">
        <v>1147</v>
      </c>
      <c r="H21" s="108" t="s">
        <v>1147</v>
      </c>
      <c r="I21" s="108" t="s">
        <v>1147</v>
      </c>
      <c r="J21" s="108" t="s">
        <v>1147</v>
      </c>
      <c r="K21" s="108" t="s">
        <v>1147</v>
      </c>
      <c r="L21" s="108" t="s">
        <v>1147</v>
      </c>
      <c r="M21" s="108" t="s">
        <v>1147</v>
      </c>
      <c r="N21" s="108" t="s">
        <v>1147</v>
      </c>
      <c r="O21" s="108" t="s">
        <v>1147</v>
      </c>
      <c r="P21" s="108" t="s">
        <v>1147</v>
      </c>
      <c r="Q21" s="108" t="s">
        <v>1147</v>
      </c>
      <c r="R21" s="108" t="s">
        <v>1147</v>
      </c>
      <c r="S21" s="108" t="s">
        <v>1147</v>
      </c>
      <c r="T21" s="108" t="s">
        <v>1147</v>
      </c>
      <c r="U21" s="108" t="s">
        <v>1147</v>
      </c>
      <c r="V21" s="108" t="s">
        <v>1147</v>
      </c>
      <c r="W21" s="108" t="s">
        <v>1147</v>
      </c>
      <c r="X21" s="108" t="s">
        <v>1147</v>
      </c>
      <c r="Y21" s="99"/>
      <c r="Z21" s="64"/>
      <c r="BB21" s="509" t="str">
        <f>CountryCode &amp; ".T3.F42DIS.S1311.MNAC." &amp; RefVintage</f>
        <v>HU.T3.F42DIS.S1311.MNAC.W.2020</v>
      </c>
    </row>
    <row r="22" spans="1:54" s="18" customFormat="1" ht="16.5" customHeight="1">
      <c r="A22" s="290" t="s">
        <v>324</v>
      </c>
      <c r="B22" s="414" t="s">
        <v>846</v>
      </c>
      <c r="C22" s="354" t="s">
        <v>474</v>
      </c>
      <c r="D22" s="100">
        <v>167557</v>
      </c>
      <c r="E22" s="100">
        <v>41783</v>
      </c>
      <c r="F22" s="100">
        <v>-363276</v>
      </c>
      <c r="G22" s="100">
        <v>-69305</v>
      </c>
      <c r="H22" s="100">
        <v>-97850</v>
      </c>
      <c r="I22" s="100">
        <v>-3802</v>
      </c>
      <c r="J22" s="100">
        <v>210286</v>
      </c>
      <c r="K22" s="100">
        <v>160435</v>
      </c>
      <c r="L22" s="100">
        <v>-105907</v>
      </c>
      <c r="M22" s="100">
        <v>-108600</v>
      </c>
      <c r="N22" s="100">
        <v>-507782</v>
      </c>
      <c r="O22" s="100">
        <v>-268597</v>
      </c>
      <c r="P22" s="100">
        <v>-50092</v>
      </c>
      <c r="Q22" s="100">
        <v>-144146</v>
      </c>
      <c r="R22" s="100">
        <v>22022</v>
      </c>
      <c r="S22" s="100">
        <v>-1769</v>
      </c>
      <c r="T22" s="100">
        <v>1211193</v>
      </c>
      <c r="U22" s="100">
        <v>-217180</v>
      </c>
      <c r="V22" s="100">
        <v>-108816</v>
      </c>
      <c r="W22" s="100">
        <v>157911</v>
      </c>
      <c r="X22" s="100">
        <v>112965</v>
      </c>
      <c r="Y22" s="99"/>
      <c r="Z22" s="64"/>
      <c r="BB22" s="509" t="str">
        <f>CountryCode &amp; ".T3.F5.S1311.MNAC." &amp; RefVintage</f>
        <v>HU.T3.F5.S1311.MNAC.W.2020</v>
      </c>
    </row>
    <row r="23" spans="1:54" s="18" customFormat="1" ht="16.5" customHeight="1">
      <c r="A23" s="290" t="s">
        <v>325</v>
      </c>
      <c r="B23" s="414" t="s">
        <v>847</v>
      </c>
      <c r="C23" s="356" t="s">
        <v>94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00">
        <v>1000</v>
      </c>
      <c r="J23" s="100">
        <v>72</v>
      </c>
      <c r="K23" s="100">
        <v>247</v>
      </c>
      <c r="L23" s="100">
        <v>-747</v>
      </c>
      <c r="M23" s="100">
        <v>632</v>
      </c>
      <c r="N23" s="100">
        <v>446</v>
      </c>
      <c r="O23" s="100">
        <v>260</v>
      </c>
      <c r="P23" s="100">
        <v>721</v>
      </c>
      <c r="Q23" s="100">
        <v>-888</v>
      </c>
      <c r="R23" s="100">
        <v>552</v>
      </c>
      <c r="S23" s="100">
        <v>2</v>
      </c>
      <c r="T23" s="100">
        <v>693365</v>
      </c>
      <c r="U23" s="100">
        <v>-192118</v>
      </c>
      <c r="V23" s="100">
        <v>-237256</v>
      </c>
      <c r="W23" s="100">
        <v>404</v>
      </c>
      <c r="X23" s="100">
        <v>-78072</v>
      </c>
      <c r="Y23" s="99"/>
      <c r="Z23" s="64"/>
      <c r="BB23" s="509" t="str">
        <f>CountryCode &amp; ".T3.F5PN.S1311.MNAC." &amp; RefVintage</f>
        <v>HU.T3.F5PN.S1311.MNAC.W.2020</v>
      </c>
    </row>
    <row r="24" spans="1:54" s="18" customFormat="1" ht="16.5" customHeight="1">
      <c r="A24" s="290" t="s">
        <v>326</v>
      </c>
      <c r="B24" s="414" t="s">
        <v>848</v>
      </c>
      <c r="C24" s="356" t="s">
        <v>475</v>
      </c>
      <c r="D24" s="100">
        <v>167557</v>
      </c>
      <c r="E24" s="100">
        <v>41783</v>
      </c>
      <c r="F24" s="100">
        <v>-363276</v>
      </c>
      <c r="G24" s="100">
        <v>-69305</v>
      </c>
      <c r="H24" s="100">
        <v>-97850</v>
      </c>
      <c r="I24" s="100">
        <v>-4802</v>
      </c>
      <c r="J24" s="100">
        <v>210214</v>
      </c>
      <c r="K24" s="100">
        <v>160188</v>
      </c>
      <c r="L24" s="100">
        <v>-105160</v>
      </c>
      <c r="M24" s="100">
        <v>-109232</v>
      </c>
      <c r="N24" s="100">
        <v>-508228</v>
      </c>
      <c r="O24" s="100">
        <v>-268857</v>
      </c>
      <c r="P24" s="100">
        <v>-50813</v>
      </c>
      <c r="Q24" s="100">
        <v>-143258</v>
      </c>
      <c r="R24" s="100">
        <v>21470</v>
      </c>
      <c r="S24" s="100">
        <v>-1771</v>
      </c>
      <c r="T24" s="100">
        <v>517828</v>
      </c>
      <c r="U24" s="100">
        <v>-25062</v>
      </c>
      <c r="V24" s="100">
        <v>128440</v>
      </c>
      <c r="W24" s="100">
        <v>157507</v>
      </c>
      <c r="X24" s="100">
        <v>191037</v>
      </c>
      <c r="Y24" s="99"/>
      <c r="Z24" s="64"/>
      <c r="BB24" s="509" t="str">
        <f>CountryCode &amp; ".T3.F5OP.S1311.MNAC." &amp; RefVintage</f>
        <v>HU.T3.F5OP.S1311.MNAC.W.2020</v>
      </c>
    </row>
    <row r="25" spans="1:54" s="18" customFormat="1" ht="16.5" customHeight="1">
      <c r="A25" s="290" t="s">
        <v>327</v>
      </c>
      <c r="B25" s="414" t="s">
        <v>849</v>
      </c>
      <c r="C25" s="357" t="s">
        <v>83</v>
      </c>
      <c r="D25" s="109">
        <v>245540</v>
      </c>
      <c r="E25" s="110">
        <v>253013</v>
      </c>
      <c r="F25" s="110">
        <v>1500</v>
      </c>
      <c r="G25" s="110">
        <v>49278</v>
      </c>
      <c r="H25" s="110">
        <v>22003</v>
      </c>
      <c r="I25" s="110">
        <v>59663</v>
      </c>
      <c r="J25" s="110">
        <v>284577</v>
      </c>
      <c r="K25" s="110">
        <v>251214</v>
      </c>
      <c r="L25" s="110">
        <v>15800</v>
      </c>
      <c r="M25" s="110">
        <v>17870</v>
      </c>
      <c r="N25" s="110">
        <v>32850</v>
      </c>
      <c r="O25" s="110">
        <v>38476</v>
      </c>
      <c r="P25" s="110">
        <v>27309</v>
      </c>
      <c r="Q25" s="110">
        <v>22354</v>
      </c>
      <c r="R25" s="110">
        <v>40600</v>
      </c>
      <c r="S25" s="110">
        <v>30194.2</v>
      </c>
      <c r="T25" s="110">
        <v>554466.61300000001</v>
      </c>
      <c r="U25" s="110">
        <v>23301</v>
      </c>
      <c r="V25" s="110">
        <v>159723</v>
      </c>
      <c r="W25" s="110">
        <v>240481.93400000001</v>
      </c>
      <c r="X25" s="110">
        <v>228416.5</v>
      </c>
      <c r="Y25" s="99"/>
      <c r="Z25" s="64"/>
      <c r="BB25" s="509" t="str">
        <f>CountryCode &amp; ".T3.F5OPACQ.S1311.MNAC." &amp; RefVintage</f>
        <v>HU.T3.F5OPACQ.S1311.MNAC.W.2020</v>
      </c>
    </row>
    <row r="26" spans="1:54" s="18" customFormat="1" ht="16.5" customHeight="1" thickBot="1">
      <c r="A26" s="290" t="s">
        <v>328</v>
      </c>
      <c r="B26" s="414" t="s">
        <v>850</v>
      </c>
      <c r="C26" s="357" t="s">
        <v>84</v>
      </c>
      <c r="D26" s="109">
        <v>-77983</v>
      </c>
      <c r="E26" s="110">
        <v>-211230</v>
      </c>
      <c r="F26" s="110">
        <v>-364776</v>
      </c>
      <c r="G26" s="110">
        <v>-118583</v>
      </c>
      <c r="H26" s="110">
        <v>-119853</v>
      </c>
      <c r="I26" s="110">
        <v>-64465</v>
      </c>
      <c r="J26" s="110">
        <v>-74363</v>
      </c>
      <c r="K26" s="110">
        <v>-91026</v>
      </c>
      <c r="L26" s="110">
        <v>-120960</v>
      </c>
      <c r="M26" s="110">
        <v>-127102</v>
      </c>
      <c r="N26" s="110">
        <v>-541078</v>
      </c>
      <c r="O26" s="110">
        <v>-307333</v>
      </c>
      <c r="P26" s="110">
        <v>-78122</v>
      </c>
      <c r="Q26" s="110">
        <v>-165612</v>
      </c>
      <c r="R26" s="110">
        <v>-19130</v>
      </c>
      <c r="S26" s="110">
        <v>-31965.200000000001</v>
      </c>
      <c r="T26" s="110">
        <v>-36638.612999999998</v>
      </c>
      <c r="U26" s="110">
        <v>-48363</v>
      </c>
      <c r="V26" s="110">
        <v>-31283</v>
      </c>
      <c r="W26" s="110">
        <v>-82974.933999999994</v>
      </c>
      <c r="X26" s="110">
        <v>-37379.5</v>
      </c>
      <c r="Y26" s="99"/>
      <c r="Z26" s="64"/>
      <c r="BB26" s="509" t="str">
        <f>CountryCode &amp; ".T3.F5OPDIS.S1311.MNAC." &amp; RefVintage</f>
        <v>HU.T3.F5OPDIS.S1311.MNAC.W.2020</v>
      </c>
    </row>
    <row r="27" spans="1:54" s="18" customFormat="1" ht="16.5" customHeight="1">
      <c r="A27" s="347" t="s">
        <v>501</v>
      </c>
      <c r="B27" s="414" t="s">
        <v>851</v>
      </c>
      <c r="C27" s="354" t="s">
        <v>460</v>
      </c>
      <c r="D27" s="136">
        <v>0</v>
      </c>
      <c r="E27" s="136">
        <v>0</v>
      </c>
      <c r="F27" s="136">
        <v>-393</v>
      </c>
      <c r="G27" s="136">
        <v>-796</v>
      </c>
      <c r="H27" s="136">
        <v>-116997</v>
      </c>
      <c r="I27" s="136">
        <v>-103942</v>
      </c>
      <c r="J27" s="136">
        <v>-53544</v>
      </c>
      <c r="K27" s="136">
        <v>-62217</v>
      </c>
      <c r="L27" s="136">
        <v>297</v>
      </c>
      <c r="M27" s="136">
        <v>-14574</v>
      </c>
      <c r="N27" s="136">
        <v>-18193</v>
      </c>
      <c r="O27" s="136">
        <v>-21035</v>
      </c>
      <c r="P27" s="136">
        <v>-14498</v>
      </c>
      <c r="Q27" s="136">
        <v>-14005</v>
      </c>
      <c r="R27" s="136">
        <v>-120511</v>
      </c>
      <c r="S27" s="136">
        <v>-85220</v>
      </c>
      <c r="T27" s="136">
        <v>-74233</v>
      </c>
      <c r="U27" s="136">
        <v>-130418</v>
      </c>
      <c r="V27" s="136">
        <v>-115472</v>
      </c>
      <c r="W27" s="136">
        <v>-99951</v>
      </c>
      <c r="X27" s="136">
        <v>-273927</v>
      </c>
      <c r="Y27" s="99"/>
      <c r="Z27" s="64"/>
      <c r="BB27" s="509" t="str">
        <f>CountryCode &amp; ".T3.F71.S1311.MNAC." &amp; RefVintage</f>
        <v>HU.T3.F71.S1311.MNAC.W.2020</v>
      </c>
    </row>
    <row r="28" spans="1:54" s="18" customFormat="1" ht="16.5" customHeight="1" thickBot="1">
      <c r="A28" s="348" t="s">
        <v>500</v>
      </c>
      <c r="B28" s="414" t="s">
        <v>852</v>
      </c>
      <c r="C28" s="354" t="s">
        <v>462</v>
      </c>
      <c r="D28" s="136">
        <v>17787</v>
      </c>
      <c r="E28" s="136">
        <v>15518</v>
      </c>
      <c r="F28" s="136">
        <v>73441</v>
      </c>
      <c r="G28" s="136">
        <v>3674</v>
      </c>
      <c r="H28" s="136">
        <v>96668</v>
      </c>
      <c r="I28" s="136">
        <v>-8186.9999999999991</v>
      </c>
      <c r="J28" s="136">
        <v>32174</v>
      </c>
      <c r="K28" s="136">
        <v>96327</v>
      </c>
      <c r="L28" s="136">
        <v>29027</v>
      </c>
      <c r="M28" s="136">
        <v>154705</v>
      </c>
      <c r="N28" s="136">
        <v>65013.000000000007</v>
      </c>
      <c r="O28" s="136">
        <v>21949</v>
      </c>
      <c r="P28" s="136">
        <v>54969</v>
      </c>
      <c r="Q28" s="136">
        <v>46458</v>
      </c>
      <c r="R28" s="136">
        <v>158795</v>
      </c>
      <c r="S28" s="136">
        <v>27895</v>
      </c>
      <c r="T28" s="136">
        <v>-22512</v>
      </c>
      <c r="U28" s="136">
        <v>-37850</v>
      </c>
      <c r="V28" s="136">
        <v>247766</v>
      </c>
      <c r="W28" s="136">
        <v>83919</v>
      </c>
      <c r="X28" s="136">
        <v>529891</v>
      </c>
      <c r="Y28" s="99"/>
      <c r="Z28" s="64"/>
      <c r="BB28" s="509" t="str">
        <f>CountryCode &amp; ".T3.F8.S1311.MNAC." &amp; RefVintage</f>
        <v>HU.T3.F8.S1311.MNAC.W.2020</v>
      </c>
    </row>
    <row r="29" spans="1:54" s="18" customFormat="1" ht="16.5" customHeight="1">
      <c r="A29" s="290" t="s">
        <v>493</v>
      </c>
      <c r="B29" s="414" t="s">
        <v>853</v>
      </c>
      <c r="C29" s="354" t="s">
        <v>465</v>
      </c>
      <c r="D29" s="136">
        <v>46</v>
      </c>
      <c r="E29" s="136">
        <v>37</v>
      </c>
      <c r="F29" s="136">
        <v>37</v>
      </c>
      <c r="G29" s="136">
        <v>71</v>
      </c>
      <c r="H29" s="136">
        <v>3</v>
      </c>
      <c r="I29" s="136">
        <v>25</v>
      </c>
      <c r="J29" s="136">
        <v>66</v>
      </c>
      <c r="K29" s="136">
        <v>61</v>
      </c>
      <c r="L29" s="136">
        <v>68</v>
      </c>
      <c r="M29" s="136">
        <v>253</v>
      </c>
      <c r="N29" s="136">
        <v>342</v>
      </c>
      <c r="O29" s="136">
        <v>7</v>
      </c>
      <c r="P29" s="136">
        <v>-90</v>
      </c>
      <c r="Q29" s="136">
        <v>38</v>
      </c>
      <c r="R29" s="136">
        <v>-7</v>
      </c>
      <c r="S29" s="136">
        <v>-74</v>
      </c>
      <c r="T29" s="136">
        <v>-36</v>
      </c>
      <c r="U29" s="136">
        <v>95</v>
      </c>
      <c r="V29" s="136">
        <v>-205</v>
      </c>
      <c r="W29" s="136">
        <v>-37</v>
      </c>
      <c r="X29" s="136">
        <v>-23</v>
      </c>
      <c r="Y29" s="99"/>
      <c r="Z29" s="64"/>
      <c r="BB29" s="509" t="str">
        <f>CountryCode &amp; ".T3.OFA.S1311.MNAC." &amp; RefVintage</f>
        <v>HU.T3.OFA.S1311.MNAC.W.2020</v>
      </c>
    </row>
    <row r="30" spans="1:54" s="18" customFormat="1" ht="16.5" customHeight="1">
      <c r="A30" s="290"/>
      <c r="B30" s="150"/>
      <c r="C30" s="358"/>
      <c r="D30" s="111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4"/>
      <c r="X30" s="114"/>
      <c r="Y30" s="99"/>
      <c r="Z30" s="64"/>
      <c r="BB30" s="509"/>
    </row>
    <row r="31" spans="1:54" s="18" customFormat="1" ht="16.5" customHeight="1">
      <c r="A31" s="290" t="s">
        <v>329</v>
      </c>
      <c r="B31" s="414" t="s">
        <v>854</v>
      </c>
      <c r="C31" s="359" t="s">
        <v>183</v>
      </c>
      <c r="D31" s="362">
        <f t="shared" ref="D31:P31" si="19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96998.999999999563</v>
      </c>
      <c r="E31" s="362">
        <f t="shared" si="19"/>
        <v>-62786.000000000131</v>
      </c>
      <c r="F31" s="362">
        <f t="shared" si="19"/>
        <v>217140</v>
      </c>
      <c r="G31" s="362">
        <f t="shared" si="19"/>
        <v>217370.00000000006</v>
      </c>
      <c r="H31" s="362">
        <f t="shared" si="19"/>
        <v>182205.00000000023</v>
      </c>
      <c r="I31" s="362">
        <f t="shared" si="19"/>
        <v>246401.00000000029</v>
      </c>
      <c r="J31" s="362">
        <f t="shared" si="19"/>
        <v>-435792.99999999994</v>
      </c>
      <c r="K31" s="362">
        <f t="shared" si="19"/>
        <v>129534.00000000058</v>
      </c>
      <c r="L31" s="362">
        <f t="shared" si="19"/>
        <v>99459.999999998457</v>
      </c>
      <c r="M31" s="362">
        <f t="shared" si="19"/>
        <v>-445803.99999999901</v>
      </c>
      <c r="N31" s="362">
        <f t="shared" si="19"/>
        <v>-8644.0000000006112</v>
      </c>
      <c r="O31" s="362">
        <f t="shared" si="19"/>
        <v>-51322.999999999891</v>
      </c>
      <c r="P31" s="362">
        <f t="shared" si="19"/>
        <v>-188042.99999999953</v>
      </c>
      <c r="Q31" s="362">
        <f t="shared" ref="Q31:S31" si="20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223032.99999999872</v>
      </c>
      <c r="R31" s="362">
        <f t="shared" si="20"/>
        <v>6785.0000000012224</v>
      </c>
      <c r="S31" s="362">
        <f t="shared" si="20"/>
        <v>429560.99999999779</v>
      </c>
      <c r="T31" s="362">
        <f t="shared" ref="T31:V31" si="21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-1823527.9999999995</v>
      </c>
      <c r="U31" s="362">
        <f t="shared" si="21"/>
        <v>-682589</v>
      </c>
      <c r="V31" s="362">
        <f t="shared" si="21"/>
        <v>129213.99999999991</v>
      </c>
      <c r="W31" s="362">
        <f t="shared" ref="W31:X31" si="22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378609</v>
      </c>
      <c r="X31" s="362">
        <f t="shared" si="22"/>
        <v>300186.00000000006</v>
      </c>
      <c r="Y31" s="99"/>
      <c r="Z31" s="64"/>
      <c r="BB31" s="509" t="str">
        <f>CountryCode &amp; ".T3.ADJ.S1311.MNAC." &amp; RefVintage</f>
        <v>HU.T3.ADJ.S1311.MNAC.W.2020</v>
      </c>
    </row>
    <row r="32" spans="1:54" s="18" customFormat="1" ht="16.5" customHeight="1" thickBot="1">
      <c r="A32" s="290" t="s">
        <v>330</v>
      </c>
      <c r="B32" s="414" t="s">
        <v>855</v>
      </c>
      <c r="C32" s="354" t="s">
        <v>476</v>
      </c>
      <c r="D32" s="136">
        <v>0</v>
      </c>
      <c r="E32" s="136">
        <v>0</v>
      </c>
      <c r="F32" s="136">
        <v>666</v>
      </c>
      <c r="G32" s="136">
        <v>3317</v>
      </c>
      <c r="H32" s="136">
        <v>136801</v>
      </c>
      <c r="I32" s="136">
        <v>95954</v>
      </c>
      <c r="J32" s="136">
        <v>66428</v>
      </c>
      <c r="K32" s="136">
        <v>51337</v>
      </c>
      <c r="L32" s="136">
        <v>35829</v>
      </c>
      <c r="M32" s="136">
        <v>39288</v>
      </c>
      <c r="N32" s="136">
        <v>29802</v>
      </c>
      <c r="O32" s="136">
        <v>32900</v>
      </c>
      <c r="P32" s="136">
        <v>34160</v>
      </c>
      <c r="Q32" s="136">
        <v>28645</v>
      </c>
      <c r="R32" s="136">
        <v>293484</v>
      </c>
      <c r="S32" s="136">
        <v>25088</v>
      </c>
      <c r="T32" s="136">
        <v>27593</v>
      </c>
      <c r="U32" s="136">
        <v>18620</v>
      </c>
      <c r="V32" s="136">
        <v>35241</v>
      </c>
      <c r="W32" s="136">
        <v>67399</v>
      </c>
      <c r="X32" s="136">
        <v>22191</v>
      </c>
      <c r="Y32" s="99"/>
      <c r="Z32" s="64"/>
      <c r="BB32" s="509" t="str">
        <f>CountryCode &amp; ".T3.LIA.S1311.MNAC." &amp; RefVintage</f>
        <v>HU.T3.LIA.S1311.MNAC.W.2020</v>
      </c>
    </row>
    <row r="33" spans="1:54" s="18" customFormat="1" ht="16.5" customHeight="1" thickBot="1">
      <c r="A33" s="272" t="s">
        <v>502</v>
      </c>
      <c r="B33" s="414" t="s">
        <v>856</v>
      </c>
      <c r="C33" s="354" t="s">
        <v>463</v>
      </c>
      <c r="D33" s="136">
        <v>11131</v>
      </c>
      <c r="E33" s="136">
        <v>-25687</v>
      </c>
      <c r="F33" s="136">
        <v>-29762</v>
      </c>
      <c r="G33" s="136">
        <v>-49627</v>
      </c>
      <c r="H33" s="136">
        <v>-63097</v>
      </c>
      <c r="I33" s="136">
        <v>-3036</v>
      </c>
      <c r="J33" s="136">
        <v>-340538</v>
      </c>
      <c r="K33" s="136">
        <v>158278</v>
      </c>
      <c r="L33" s="136">
        <v>-184340</v>
      </c>
      <c r="M33" s="136">
        <v>-235995</v>
      </c>
      <c r="N33" s="136">
        <v>-62711</v>
      </c>
      <c r="O33" s="136">
        <v>-81906</v>
      </c>
      <c r="P33" s="136">
        <v>-148838</v>
      </c>
      <c r="Q33" s="136">
        <v>-104</v>
      </c>
      <c r="R33" s="136">
        <v>-274544</v>
      </c>
      <c r="S33" s="136">
        <v>35586</v>
      </c>
      <c r="T33" s="136">
        <v>-3138006</v>
      </c>
      <c r="U33" s="136">
        <v>-31430</v>
      </c>
      <c r="V33" s="136">
        <v>-127725</v>
      </c>
      <c r="W33" s="136">
        <v>-203386</v>
      </c>
      <c r="X33" s="136">
        <v>164383</v>
      </c>
      <c r="Y33" s="99"/>
      <c r="Z33" s="64"/>
      <c r="BB33" s="509" t="str">
        <f>CountryCode &amp; ".T3.OAP.S1311.MNAC." &amp; RefVintage</f>
        <v>HU.T3.OAP.S1311.MNAC.W.2020</v>
      </c>
    </row>
    <row r="34" spans="1:54" s="18" customFormat="1" ht="16.5" customHeight="1">
      <c r="A34" s="290" t="s">
        <v>331</v>
      </c>
      <c r="B34" s="414" t="s">
        <v>857</v>
      </c>
      <c r="C34" s="354" t="s">
        <v>477</v>
      </c>
      <c r="D34" s="136">
        <v>0</v>
      </c>
      <c r="E34" s="136">
        <v>0</v>
      </c>
      <c r="F34" s="136">
        <v>0</v>
      </c>
      <c r="G34" s="136">
        <v>0</v>
      </c>
      <c r="H34" s="136">
        <v>0</v>
      </c>
      <c r="I34" s="136">
        <v>0</v>
      </c>
      <c r="J34" s="136">
        <v>0</v>
      </c>
      <c r="K34" s="136">
        <v>-1618</v>
      </c>
      <c r="L34" s="136">
        <v>-3394</v>
      </c>
      <c r="M34" s="136">
        <v>-981</v>
      </c>
      <c r="N34" s="136">
        <v>-7900</v>
      </c>
      <c r="O34" s="136">
        <v>-16091.999999999998</v>
      </c>
      <c r="P34" s="136">
        <v>-9459</v>
      </c>
      <c r="Q34" s="136">
        <v>-989</v>
      </c>
      <c r="R34" s="136">
        <v>53</v>
      </c>
      <c r="S34" s="136">
        <v>6491</v>
      </c>
      <c r="T34" s="136">
        <v>1010.9999999999999</v>
      </c>
      <c r="U34" s="136">
        <v>3214</v>
      </c>
      <c r="V34" s="136">
        <v>6963</v>
      </c>
      <c r="W34" s="136">
        <v>1765</v>
      </c>
      <c r="X34" s="136">
        <v>522</v>
      </c>
      <c r="Y34" s="99"/>
      <c r="Z34" s="64"/>
      <c r="BB34" s="509" t="str">
        <f>CountryCode &amp; ".T3.OLIA.S1311.MNAC." &amp; RefVintage</f>
        <v>HU.T3.OLIA.S1311.MNAC.W.2020</v>
      </c>
    </row>
    <row r="35" spans="1:54" s="18" customFormat="1" ht="16.5" customHeight="1">
      <c r="A35" s="290"/>
      <c r="B35" s="150"/>
      <c r="C35" s="360"/>
      <c r="D35" s="113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99"/>
      <c r="Z35" s="64"/>
      <c r="BB35" s="509"/>
    </row>
    <row r="36" spans="1:54" s="18" customFormat="1" ht="16.5" customHeight="1">
      <c r="A36" s="290" t="s">
        <v>332</v>
      </c>
      <c r="B36" s="414" t="s">
        <v>858</v>
      </c>
      <c r="C36" s="354" t="s">
        <v>66</v>
      </c>
      <c r="D36" s="136">
        <v>33907.759114314955</v>
      </c>
      <c r="E36" s="136">
        <v>40085.253002461453</v>
      </c>
      <c r="F36" s="136">
        <v>-7918.8865906477304</v>
      </c>
      <c r="G36" s="136">
        <v>304.85135617777814</v>
      </c>
      <c r="H36" s="136">
        <v>-4613.503691984306</v>
      </c>
      <c r="I36" s="136">
        <v>-25118.350433007323</v>
      </c>
      <c r="J36" s="136">
        <v>10702.873861866237</v>
      </c>
      <c r="K36" s="136">
        <v>59370.969234332733</v>
      </c>
      <c r="L36" s="136">
        <v>58169.365397749178</v>
      </c>
      <c r="M36" s="136">
        <v>81163.860145592931</v>
      </c>
      <c r="N36" s="136">
        <v>-65752.94612655307</v>
      </c>
      <c r="O36" s="136">
        <v>100384.6207484653</v>
      </c>
      <c r="P36" s="136">
        <v>-4367.8441810520781</v>
      </c>
      <c r="Q36" s="136">
        <v>101114.12443349946</v>
      </c>
      <c r="R36" s="136">
        <v>-12195.090094336592</v>
      </c>
      <c r="S36" s="136">
        <v>-24956.447158111587</v>
      </c>
      <c r="T36" s="136">
        <v>2470.0000000011642</v>
      </c>
      <c r="U36" s="136">
        <v>18629.000000000815</v>
      </c>
      <c r="V36" s="136">
        <v>-50436.000000003332</v>
      </c>
      <c r="W36" s="136">
        <v>-316658.99999999796</v>
      </c>
      <c r="X36" s="136">
        <v>-172779</v>
      </c>
      <c r="Y36" s="99"/>
      <c r="Z36" s="64"/>
      <c r="BB36" s="509" t="str">
        <f>CountryCode &amp; ".T3.ISS_A.S1311.MNAC." &amp; RefVintage</f>
        <v>HU.T3.ISS_A.S1311.MNAC.W.2020</v>
      </c>
    </row>
    <row r="37" spans="1:54" s="18" customFormat="1" ht="16.5" customHeight="1">
      <c r="A37" s="290" t="s">
        <v>333</v>
      </c>
      <c r="B37" s="414" t="s">
        <v>859</v>
      </c>
      <c r="C37" s="354" t="s">
        <v>478</v>
      </c>
      <c r="D37" s="136">
        <v>-33042.000000000007</v>
      </c>
      <c r="E37" s="136">
        <v>-103701.00000000001</v>
      </c>
      <c r="F37" s="136">
        <v>-13664.892657222241</v>
      </c>
      <c r="G37" s="136">
        <v>-12326.04878534717</v>
      </c>
      <c r="H37" s="136">
        <v>13754.973056523433</v>
      </c>
      <c r="I37" s="136">
        <v>39636.957254142297</v>
      </c>
      <c r="J37" s="136">
        <v>-1437.7929302006946</v>
      </c>
      <c r="K37" s="136">
        <v>-29540.977404172692</v>
      </c>
      <c r="L37" s="136">
        <v>-44884.589294995974</v>
      </c>
      <c r="M37" s="136">
        <v>-118799.45742518644</v>
      </c>
      <c r="N37" s="136">
        <v>-28110.709025922311</v>
      </c>
      <c r="O37" s="136">
        <v>-65131.02694677539</v>
      </c>
      <c r="P37" s="136">
        <v>-42547.833243884008</v>
      </c>
      <c r="Q37" s="136">
        <v>-57377.486791450341</v>
      </c>
      <c r="R37" s="136">
        <v>-2157.4381058107879</v>
      </c>
      <c r="S37" s="136">
        <v>-16025.838859195055</v>
      </c>
      <c r="T37" s="136">
        <v>2409.8039321779938</v>
      </c>
      <c r="U37" s="136">
        <v>-31923.576480937565</v>
      </c>
      <c r="V37" s="136">
        <v>18406.943948660341</v>
      </c>
      <c r="W37" s="136">
        <v>144777.56971681997</v>
      </c>
      <c r="X37" s="136">
        <v>70483.547930170083</v>
      </c>
      <c r="Y37" s="99"/>
      <c r="Z37" s="64"/>
      <c r="BB37" s="509" t="str">
        <f>CountryCode &amp; ".T3.D41_A.S1311.MNAC." &amp; RefVintage</f>
        <v>HU.T3.D41_A.S1311.MNAC.W.2020</v>
      </c>
    </row>
    <row r="38" spans="1:54" s="18" customFormat="1" ht="16.5" customHeight="1">
      <c r="A38" s="290" t="s">
        <v>334</v>
      </c>
      <c r="B38" s="414" t="s">
        <v>860</v>
      </c>
      <c r="C38" s="361" t="s">
        <v>479</v>
      </c>
      <c r="D38" s="136">
        <v>0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800</v>
      </c>
      <c r="K38" s="136">
        <v>700</v>
      </c>
      <c r="L38" s="136">
        <v>200</v>
      </c>
      <c r="M38" s="136">
        <v>-3100</v>
      </c>
      <c r="N38" s="136">
        <v>600</v>
      </c>
      <c r="O38" s="136">
        <v>-460</v>
      </c>
      <c r="P38" s="136">
        <v>-1217</v>
      </c>
      <c r="Q38" s="136">
        <v>-6236</v>
      </c>
      <c r="R38" s="136">
        <v>-43667</v>
      </c>
      <c r="S38" s="136">
        <v>2282.8423509999998</v>
      </c>
      <c r="T38" s="136">
        <v>2641.7199390000001</v>
      </c>
      <c r="U38" s="136">
        <v>-316.82495600000004</v>
      </c>
      <c r="V38" s="136">
        <v>18299.852350999998</v>
      </c>
      <c r="W38" s="136">
        <v>76129.038169999956</v>
      </c>
      <c r="X38" s="136">
        <v>99876.091973000017</v>
      </c>
      <c r="Y38" s="99"/>
      <c r="Z38" s="64"/>
      <c r="BB38" s="509" t="str">
        <f>CountryCode &amp; ".T3.RED_A.S1311.MNAC." &amp; RefVintage</f>
        <v>HU.T3.RED_A.S1311.MNAC.W.2020</v>
      </c>
    </row>
    <row r="39" spans="1:54" s="18" customFormat="1" ht="16.5" customHeight="1">
      <c r="A39" s="290"/>
      <c r="B39" s="150"/>
      <c r="C39" s="360"/>
      <c r="D39" s="113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99"/>
      <c r="Z39" s="64"/>
      <c r="BB39" s="509"/>
    </row>
    <row r="40" spans="1:54" s="18" customFormat="1" ht="16.5" customHeight="1">
      <c r="A40" s="290" t="s">
        <v>335</v>
      </c>
      <c r="B40" s="414" t="s">
        <v>861</v>
      </c>
      <c r="C40" s="354" t="s">
        <v>95</v>
      </c>
      <c r="D40" s="136">
        <v>85002.240885684616</v>
      </c>
      <c r="E40" s="136">
        <v>26516.74699753843</v>
      </c>
      <c r="F40" s="136">
        <v>303616.77924786997</v>
      </c>
      <c r="G40" s="136">
        <v>275701.19742916944</v>
      </c>
      <c r="H40" s="136">
        <v>99359.530635461095</v>
      </c>
      <c r="I40" s="136">
        <v>138964.39317886531</v>
      </c>
      <c r="J40" s="136">
        <v>-171748.08093166549</v>
      </c>
      <c r="K40" s="136">
        <v>-112794.99183015944</v>
      </c>
      <c r="L40" s="136">
        <v>237880.22389724525</v>
      </c>
      <c r="M40" s="136">
        <v>-207380.40272040549</v>
      </c>
      <c r="N40" s="136">
        <v>125428.65515247476</v>
      </c>
      <c r="O40" s="136">
        <v>-21018.5938016898</v>
      </c>
      <c r="P40" s="136">
        <v>-13969.322575063445</v>
      </c>
      <c r="Q40" s="136">
        <v>157980.36235794961</v>
      </c>
      <c r="R40" s="136">
        <v>33596.528200148605</v>
      </c>
      <c r="S40" s="136">
        <v>390302.44366630446</v>
      </c>
      <c r="T40" s="136">
        <v>1278352.4761288213</v>
      </c>
      <c r="U40" s="136">
        <v>-659381.59856306319</v>
      </c>
      <c r="V40" s="136">
        <v>228464.20370034291</v>
      </c>
      <c r="W40" s="136">
        <v>546834.39211317804</v>
      </c>
      <c r="X40" s="136">
        <v>114811.36009682994</v>
      </c>
      <c r="Y40" s="99"/>
      <c r="Z40" s="64"/>
      <c r="BB40" s="509" t="str">
        <f>CountryCode &amp; ".T3.FREV_A.S1311.MNAC." &amp; RefVintage</f>
        <v>HU.T3.FREV_A.S1311.MNAC.W.2020</v>
      </c>
    </row>
    <row r="41" spans="1:54" s="18" customFormat="1" ht="16.5" customHeight="1">
      <c r="A41" s="290" t="s">
        <v>518</v>
      </c>
      <c r="B41" s="414" t="s">
        <v>862</v>
      </c>
      <c r="C41" s="354" t="s">
        <v>480</v>
      </c>
      <c r="D41" s="136">
        <v>0</v>
      </c>
      <c r="E41" s="136">
        <v>0</v>
      </c>
      <c r="F41" s="136">
        <v>-35797</v>
      </c>
      <c r="G41" s="136">
        <v>0</v>
      </c>
      <c r="H41" s="136">
        <v>0</v>
      </c>
      <c r="I41" s="136">
        <v>0</v>
      </c>
      <c r="J41" s="136">
        <v>0</v>
      </c>
      <c r="K41" s="136">
        <v>3801.9999999999995</v>
      </c>
      <c r="L41" s="136">
        <v>0</v>
      </c>
      <c r="M41" s="136">
        <v>0</v>
      </c>
      <c r="N41" s="136">
        <v>0</v>
      </c>
      <c r="O41" s="136">
        <v>0</v>
      </c>
      <c r="P41" s="136">
        <v>-1804</v>
      </c>
      <c r="Q41" s="136">
        <v>0</v>
      </c>
      <c r="R41" s="136">
        <v>12215</v>
      </c>
      <c r="S41" s="136">
        <v>10793</v>
      </c>
      <c r="T41" s="136">
        <v>0</v>
      </c>
      <c r="U41" s="136">
        <v>0</v>
      </c>
      <c r="V41" s="136">
        <v>0</v>
      </c>
      <c r="W41" s="136">
        <v>61749</v>
      </c>
      <c r="X41" s="136">
        <v>698</v>
      </c>
      <c r="Y41" s="99"/>
      <c r="Z41" s="64"/>
      <c r="BB41" s="509" t="str">
        <f>CountryCode &amp; ".T3.K61.S1311.MNAC." &amp; RefVintage</f>
        <v>HU.T3.K61.S1311.MNAC.W.2020</v>
      </c>
    </row>
    <row r="42" spans="1:54" s="18" customFormat="1" ht="16.5" customHeight="1">
      <c r="A42" s="290" t="s">
        <v>336</v>
      </c>
      <c r="B42" s="414" t="s">
        <v>863</v>
      </c>
      <c r="C42" s="354" t="s">
        <v>481</v>
      </c>
      <c r="D42" s="136">
        <v>0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36">
        <v>0</v>
      </c>
      <c r="T42" s="136">
        <v>0</v>
      </c>
      <c r="U42" s="136">
        <v>0</v>
      </c>
      <c r="V42" s="136">
        <v>0</v>
      </c>
      <c r="W42" s="136">
        <v>0</v>
      </c>
      <c r="X42" s="136">
        <v>0</v>
      </c>
      <c r="Y42" s="99"/>
      <c r="Z42" s="64"/>
      <c r="BB42" s="509" t="str">
        <f>CountryCode &amp; ".T3.OCVO_A.S1311.MNAC." &amp; RefVintage</f>
        <v>HU.T3.OCVO_A.S1311.MNAC.W.2020</v>
      </c>
    </row>
    <row r="43" spans="1:54" s="18" customFormat="1" ht="16.5" customHeight="1">
      <c r="A43" s="290"/>
      <c r="B43" s="150"/>
      <c r="C43" s="360"/>
      <c r="D43" s="113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99"/>
      <c r="Z43" s="64"/>
      <c r="BB43" s="509"/>
    </row>
    <row r="44" spans="1:54" s="18" customFormat="1" ht="16.5" customHeight="1">
      <c r="A44" s="290" t="s">
        <v>337</v>
      </c>
      <c r="B44" s="414" t="s">
        <v>864</v>
      </c>
      <c r="C44" s="359" t="s">
        <v>64</v>
      </c>
      <c r="D44" s="136">
        <v>8918.658999999956</v>
      </c>
      <c r="E44" s="136">
        <v>85956.000000000015</v>
      </c>
      <c r="F44" s="136">
        <v>7567.1600000000326</v>
      </c>
      <c r="G44" s="136">
        <v>52278.390909090929</v>
      </c>
      <c r="H44" s="136">
        <v>-59400.999999999993</v>
      </c>
      <c r="I44" s="136">
        <v>22538</v>
      </c>
      <c r="J44" s="136">
        <v>-4005.0000000000582</v>
      </c>
      <c r="K44" s="136">
        <v>89615.999999999869</v>
      </c>
      <c r="L44" s="136">
        <v>2117.0000000001455</v>
      </c>
      <c r="M44" s="136">
        <v>43692.999999999913</v>
      </c>
      <c r="N44" s="136">
        <v>-16596.999999999854</v>
      </c>
      <c r="O44" s="136">
        <v>-15858.999999999876</v>
      </c>
      <c r="P44" s="136">
        <v>-42235.000000000124</v>
      </c>
      <c r="Q44" s="136">
        <v>-40756.000000000116</v>
      </c>
      <c r="R44" s="136">
        <v>-31798.999999999945</v>
      </c>
      <c r="S44" s="136">
        <v>8248.0000000001164</v>
      </c>
      <c r="T44" s="136">
        <v>-31223.000000000466</v>
      </c>
      <c r="U44" s="136">
        <v>61594.761999999871</v>
      </c>
      <c r="V44" s="136">
        <v>-16860.499999999942</v>
      </c>
      <c r="W44" s="136">
        <v>-28191.213201000006</v>
      </c>
      <c r="X44" s="136">
        <v>-72075.648063999877</v>
      </c>
      <c r="Y44" s="99"/>
      <c r="Z44" s="64"/>
      <c r="BB44" s="509" t="str">
        <f>CountryCode &amp; ".T3.SD.S1311.MNAC." &amp; RefVintage</f>
        <v>HU.T3.SD.S1311.MNAC.W.2020</v>
      </c>
    </row>
    <row r="45" spans="1:54" s="18" customFormat="1" ht="16.5" customHeight="1">
      <c r="A45" s="290" t="s">
        <v>338</v>
      </c>
      <c r="B45" s="414" t="s">
        <v>865</v>
      </c>
      <c r="C45" s="354" t="s">
        <v>73</v>
      </c>
      <c r="D45" s="136">
        <v>8918.658999999956</v>
      </c>
      <c r="E45" s="136">
        <v>85956.000000000015</v>
      </c>
      <c r="F45" s="136">
        <v>7567.1600000000326</v>
      </c>
      <c r="G45" s="136">
        <v>52278.390909090929</v>
      </c>
      <c r="H45" s="136">
        <v>-59400.999999999993</v>
      </c>
      <c r="I45" s="136">
        <v>22538</v>
      </c>
      <c r="J45" s="136">
        <v>-4005.0000000000582</v>
      </c>
      <c r="K45" s="136">
        <v>89615.999999999869</v>
      </c>
      <c r="L45" s="136">
        <v>2117.0000000001455</v>
      </c>
      <c r="M45" s="136">
        <v>43692.999999999913</v>
      </c>
      <c r="N45" s="136">
        <v>-16596.999999999854</v>
      </c>
      <c r="O45" s="136">
        <v>-15858.999999999876</v>
      </c>
      <c r="P45" s="136">
        <v>-42235.000000000124</v>
      </c>
      <c r="Q45" s="136">
        <v>-40756.000000000116</v>
      </c>
      <c r="R45" s="136">
        <v>-31798.999999999945</v>
      </c>
      <c r="S45" s="136">
        <v>8248.0000000001164</v>
      </c>
      <c r="T45" s="136">
        <v>-31223.000000000466</v>
      </c>
      <c r="U45" s="136">
        <v>61594.761999999871</v>
      </c>
      <c r="V45" s="136">
        <v>-16860.499999999942</v>
      </c>
      <c r="W45" s="136">
        <v>-28191.213201000006</v>
      </c>
      <c r="X45" s="136">
        <v>-72075.648063999877</v>
      </c>
      <c r="Y45" s="99"/>
      <c r="Z45" s="64"/>
      <c r="BB45" s="509" t="str">
        <f>CountryCode &amp; ".T3.B9_SD.S1311.MNAC." &amp; RefVintage</f>
        <v>HU.T3.B9_SD.S1311.MNAC.W.2020</v>
      </c>
    </row>
    <row r="46" spans="1:54" s="18" customFormat="1" ht="16.5" customHeight="1">
      <c r="A46" s="290" t="s">
        <v>339</v>
      </c>
      <c r="B46" s="414" t="s">
        <v>866</v>
      </c>
      <c r="C46" s="354" t="s">
        <v>63</v>
      </c>
      <c r="D46" s="136">
        <v>0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36">
        <v>0</v>
      </c>
      <c r="T46" s="136">
        <v>0</v>
      </c>
      <c r="U46" s="136">
        <v>0</v>
      </c>
      <c r="V46" s="136">
        <v>0</v>
      </c>
      <c r="W46" s="136">
        <v>0</v>
      </c>
      <c r="X46" s="136">
        <v>0</v>
      </c>
      <c r="Y46" s="99"/>
      <c r="Z46" s="64"/>
      <c r="BB46" s="509" t="str">
        <f>CountryCode &amp; ".T3.OSD.S1311.MNAC." &amp; RefVintage</f>
        <v>HU.T3.OSD.S1311.MNAC.W.2020</v>
      </c>
    </row>
    <row r="47" spans="1:54" s="18" customFormat="1" ht="13.5" customHeight="1" thickBot="1">
      <c r="A47" s="290"/>
      <c r="B47" s="150"/>
      <c r="C47" s="358"/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7"/>
      <c r="Z47" s="64"/>
      <c r="BB47" s="509"/>
    </row>
    <row r="48" spans="1:54" s="18" customFormat="1" ht="21.75" customHeight="1" thickTop="1" thickBot="1">
      <c r="A48" s="290" t="s">
        <v>340</v>
      </c>
      <c r="B48" s="414" t="s">
        <v>867</v>
      </c>
      <c r="C48" s="312" t="s">
        <v>100</v>
      </c>
      <c r="D48" s="136">
        <v>1014809.9999999995</v>
      </c>
      <c r="E48" s="136">
        <v>221119.99999999988</v>
      </c>
      <c r="F48" s="136">
        <v>466076</v>
      </c>
      <c r="G48" s="136">
        <v>773697.00000000012</v>
      </c>
      <c r="H48" s="136">
        <v>722934.00000000023</v>
      </c>
      <c r="I48" s="136">
        <v>371104.00000000029</v>
      </c>
      <c r="J48" s="136">
        <v>605460</v>
      </c>
      <c r="K48" s="136">
        <v>1542868.0000000005</v>
      </c>
      <c r="L48" s="136">
        <v>1378680.9999999986</v>
      </c>
      <c r="M48" s="136">
        <v>1263085.0000000009</v>
      </c>
      <c r="N48" s="136">
        <v>1154095.9999999995</v>
      </c>
      <c r="O48" s="136">
        <v>1852385.0000000002</v>
      </c>
      <c r="P48" s="136">
        <v>1025957.0000000003</v>
      </c>
      <c r="Q48" s="136">
        <v>2488314.9999999986</v>
      </c>
      <c r="R48" s="136">
        <v>988185.00000000128</v>
      </c>
      <c r="S48" s="136">
        <v>1040114.9999999979</v>
      </c>
      <c r="T48" s="136">
        <v>996659</v>
      </c>
      <c r="U48" s="136">
        <v>-135144</v>
      </c>
      <c r="V48" s="136">
        <v>1366948</v>
      </c>
      <c r="W48" s="136">
        <v>2094316</v>
      </c>
      <c r="X48" s="136">
        <v>1373451</v>
      </c>
      <c r="Y48" s="6"/>
      <c r="Z48" s="64"/>
      <c r="BB48" s="509" t="str">
        <f>CountryCode &amp; ".T3.CHDEBT.S1311.MNAC." &amp; RefVintage</f>
        <v>HU.T3.CHDEBT.S1311.MNAC.W.2020</v>
      </c>
    </row>
    <row r="49" spans="1:54" ht="9" customHeight="1" thickTop="1" thickBot="1">
      <c r="A49" s="290"/>
      <c r="B49" s="150"/>
      <c r="C49" s="37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8"/>
      <c r="Z49" s="50"/>
    </row>
    <row r="50" spans="1:54" ht="9" customHeight="1" thickTop="1" thickBot="1">
      <c r="A50" s="290"/>
      <c r="B50" s="150"/>
      <c r="C50" s="371"/>
      <c r="D50" s="91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"/>
      <c r="Z50" s="50"/>
    </row>
    <row r="51" spans="1:54" ht="18.75" thickTop="1" thickBot="1">
      <c r="A51" s="290" t="s">
        <v>341</v>
      </c>
      <c r="B51" s="414" t="s">
        <v>868</v>
      </c>
      <c r="C51" s="312" t="s">
        <v>105</v>
      </c>
      <c r="D51" s="491">
        <v>4767760</v>
      </c>
      <c r="E51" s="492">
        <v>5024350</v>
      </c>
      <c r="F51" s="492">
        <v>5446701</v>
      </c>
      <c r="G51" s="492">
        <v>6179123</v>
      </c>
      <c r="H51" s="492">
        <v>6941083</v>
      </c>
      <c r="I51" s="492">
        <v>7275876</v>
      </c>
      <c r="J51" s="492">
        <v>7930683</v>
      </c>
      <c r="K51" s="492">
        <v>9371466</v>
      </c>
      <c r="L51" s="492">
        <v>10512298</v>
      </c>
      <c r="M51" s="492">
        <v>11716475</v>
      </c>
      <c r="N51" s="492">
        <v>12832607</v>
      </c>
      <c r="O51" s="492">
        <v>15024300</v>
      </c>
      <c r="P51" s="492">
        <v>16178509</v>
      </c>
      <c r="Q51" s="492">
        <v>18599226</v>
      </c>
      <c r="R51" s="492">
        <v>19528800</v>
      </c>
      <c r="S51" s="492">
        <v>20662313</v>
      </c>
      <c r="T51" s="492">
        <v>21667477</v>
      </c>
      <c r="U51" s="492">
        <v>21504879</v>
      </c>
      <c r="V51" s="492">
        <v>22983595</v>
      </c>
      <c r="W51" s="492">
        <v>25073040</v>
      </c>
      <c r="X51" s="492">
        <v>26420599</v>
      </c>
      <c r="Y51" s="4"/>
      <c r="Z51" s="50"/>
      <c r="BB51" s="315" t="str">
        <f>CountryCode &amp; ".T3.CTDEBT.S1311.MNAC." &amp; RefVintage</f>
        <v>HU.T3.CTDEBT.S1311.MNAC.W.2020</v>
      </c>
    </row>
    <row r="52" spans="1:54" ht="15.75" thickTop="1">
      <c r="A52" s="290" t="s">
        <v>342</v>
      </c>
      <c r="B52" s="414" t="s">
        <v>869</v>
      </c>
      <c r="C52" s="354" t="s">
        <v>101</v>
      </c>
      <c r="D52" s="489">
        <v>4874360</v>
      </c>
      <c r="E52" s="489">
        <v>5095480</v>
      </c>
      <c r="F52" s="489">
        <v>5561556</v>
      </c>
      <c r="G52" s="489">
        <v>6335253</v>
      </c>
      <c r="H52" s="489">
        <v>7058187</v>
      </c>
      <c r="I52" s="489">
        <v>7429291</v>
      </c>
      <c r="J52" s="489">
        <v>8034751</v>
      </c>
      <c r="K52" s="489">
        <v>9577619</v>
      </c>
      <c r="L52" s="489">
        <v>10956300</v>
      </c>
      <c r="M52" s="489">
        <v>12219385</v>
      </c>
      <c r="N52" s="489">
        <v>13373481</v>
      </c>
      <c r="O52" s="489">
        <v>15225866</v>
      </c>
      <c r="P52" s="489">
        <v>16251823</v>
      </c>
      <c r="Q52" s="489">
        <v>18740138</v>
      </c>
      <c r="R52" s="489">
        <v>19728323</v>
      </c>
      <c r="S52" s="489">
        <v>20768438</v>
      </c>
      <c r="T52" s="489">
        <v>21765097</v>
      </c>
      <c r="U52" s="489">
        <v>21629953</v>
      </c>
      <c r="V52" s="489">
        <v>22996901</v>
      </c>
      <c r="W52" s="489">
        <v>25091217</v>
      </c>
      <c r="X52" s="489">
        <v>26464668</v>
      </c>
      <c r="Y52" s="490"/>
      <c r="Z52" s="50"/>
      <c r="BB52" s="315" t="str">
        <f>CountryCode &amp; ".T3.DEBT.S1311.MNAC." &amp; RefVintage</f>
        <v>HU.T3.DEBT.S1311.MNAC.W.2020</v>
      </c>
    </row>
    <row r="53" spans="1:54" ht="18.75" customHeight="1">
      <c r="A53" s="290" t="s">
        <v>343</v>
      </c>
      <c r="B53" s="414" t="s">
        <v>870</v>
      </c>
      <c r="C53" s="372" t="s">
        <v>108</v>
      </c>
      <c r="D53" s="136">
        <v>106600</v>
      </c>
      <c r="E53" s="136">
        <v>71130</v>
      </c>
      <c r="F53" s="136">
        <v>114854.99999999999</v>
      </c>
      <c r="G53" s="136">
        <v>156130</v>
      </c>
      <c r="H53" s="136">
        <v>117104.00000000001</v>
      </c>
      <c r="I53" s="136">
        <v>153415.00000000003</v>
      </c>
      <c r="J53" s="136">
        <v>104068</v>
      </c>
      <c r="K53" s="136">
        <v>206153</v>
      </c>
      <c r="L53" s="136">
        <v>444001.99999999994</v>
      </c>
      <c r="M53" s="136">
        <v>502910</v>
      </c>
      <c r="N53" s="136">
        <v>540874</v>
      </c>
      <c r="O53" s="136">
        <v>201566</v>
      </c>
      <c r="P53" s="136">
        <v>73314</v>
      </c>
      <c r="Q53" s="136">
        <v>140912</v>
      </c>
      <c r="R53" s="136">
        <v>199523</v>
      </c>
      <c r="S53" s="136">
        <v>106125</v>
      </c>
      <c r="T53" s="136">
        <v>97620</v>
      </c>
      <c r="U53" s="136">
        <v>125074</v>
      </c>
      <c r="V53" s="136">
        <v>13306</v>
      </c>
      <c r="W53" s="136">
        <v>18177</v>
      </c>
      <c r="X53" s="136">
        <v>44069</v>
      </c>
      <c r="Y53" s="137"/>
      <c r="Z53" s="50"/>
      <c r="BB53" s="315" t="str">
        <f>CountryCode &amp; ".T3.HOLD.S1311.MNAC." &amp; RefVintage</f>
        <v>HU.T3.HOLD.S1311.MNAC.W.2020</v>
      </c>
    </row>
    <row r="54" spans="1:54" ht="9.75" customHeight="1" thickBot="1">
      <c r="A54" s="151"/>
      <c r="B54" s="150"/>
      <c r="C54" s="17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71"/>
      <c r="Z54" s="50"/>
    </row>
    <row r="55" spans="1:54" ht="20.25" thickTop="1" thickBot="1">
      <c r="A55" s="151"/>
      <c r="B55" s="150"/>
      <c r="C55" s="369" t="str">
        <f>'Table 3A'!$C$50</f>
        <v xml:space="preserve">*Please note that the sign convention for net lending/ net borrowing is different from tables 1 and 2. </v>
      </c>
      <c r="D55" s="350"/>
      <c r="E55" s="350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7"/>
      <c r="Z55" s="50"/>
      <c r="AB55" s="13"/>
    </row>
    <row r="56" spans="1:54" ht="8.25" customHeight="1" thickTop="1">
      <c r="A56" s="151"/>
      <c r="B56" s="150"/>
      <c r="C56" s="175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50"/>
      <c r="AB56" s="13"/>
    </row>
    <row r="57" spans="1:54" ht="15.75">
      <c r="A57" s="151"/>
      <c r="B57" s="150"/>
      <c r="C57" s="176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50"/>
      <c r="AB57" s="13"/>
    </row>
    <row r="58" spans="1:54" ht="15.75">
      <c r="A58" s="151"/>
      <c r="B58" s="150"/>
      <c r="C58" s="226" t="s">
        <v>96</v>
      </c>
      <c r="D58" s="226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0"/>
      <c r="Z58" s="50"/>
      <c r="AB58" s="13"/>
    </row>
    <row r="59" spans="1:54" ht="15.75">
      <c r="A59" s="151"/>
      <c r="B59" s="150"/>
      <c r="C59" s="224" t="s">
        <v>99</v>
      </c>
      <c r="D59" s="226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0"/>
      <c r="Z59" s="50"/>
      <c r="AB59" s="13"/>
    </row>
    <row r="60" spans="1:54" ht="16.5" customHeight="1">
      <c r="A60" s="151"/>
      <c r="B60" s="150"/>
      <c r="C60" s="224" t="s">
        <v>464</v>
      </c>
      <c r="D60" s="154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0"/>
      <c r="Z60" s="50"/>
      <c r="AB60" s="13"/>
    </row>
    <row r="61" spans="1:54" ht="9.75" customHeight="1" thickBot="1">
      <c r="A61" s="177"/>
      <c r="B61" s="170"/>
      <c r="C61" s="179"/>
      <c r="D61" s="72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52"/>
      <c r="AB61" s="13"/>
    </row>
    <row r="62" spans="1:54" ht="16.5" thickTop="1">
      <c r="B62" s="212"/>
      <c r="C62" s="31"/>
      <c r="D62" s="53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13"/>
      <c r="AA62" s="13"/>
      <c r="AB62" s="13"/>
    </row>
    <row r="63" spans="1:54" ht="15.75">
      <c r="D63" s="53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</row>
    <row r="64" spans="1:54" ht="30" customHeight="1">
      <c r="C64" s="323" t="s">
        <v>120</v>
      </c>
      <c r="D64" s="545" t="str">
        <f>IF(COUNTA(D10:W10,D12:W29,D31:W34,D36:W38,D40:W42,D44:W46,D48:W48,D51:W53)/720*100=100,"OK - Table 3B is fully completed","WARNING - Table 3B is not fully completed, please fill in figure, L, M or 0")</f>
        <v>OK - Table 3B is fully completed</v>
      </c>
      <c r="E64" s="545"/>
      <c r="F64" s="545"/>
      <c r="G64" s="545"/>
      <c r="H64" s="545"/>
      <c r="I64" s="545"/>
      <c r="J64" s="545"/>
      <c r="K64" s="545"/>
      <c r="L64" s="545"/>
      <c r="M64" s="545"/>
      <c r="N64" s="545"/>
      <c r="O64" s="545"/>
      <c r="P64" s="545"/>
      <c r="Q64" s="545"/>
      <c r="R64" s="545"/>
      <c r="S64" s="545"/>
      <c r="T64" s="545"/>
      <c r="U64" s="545"/>
      <c r="V64" s="545"/>
      <c r="W64" s="545"/>
      <c r="X64" s="545"/>
      <c r="Y64" s="316"/>
      <c r="Z64" s="195"/>
      <c r="AA64" s="29"/>
    </row>
    <row r="65" spans="3:27">
      <c r="C65" s="196" t="s">
        <v>121</v>
      </c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8"/>
      <c r="AA65" s="29"/>
    </row>
    <row r="66" spans="3:27" ht="15.75">
      <c r="C66" s="317" t="s">
        <v>175</v>
      </c>
      <c r="D66" s="318">
        <f>IF(AND(D48="0",D10="0",D12="0",D31="0",D44="0")=0,IF(AND(D48="L",D10="L",D12="L",D31="L",D44="L")="NC",IF(D48="M",0,D48)-IF(D10="M",0,D10)-IF(D12="M",0,D12)-IF(D31="M",0,D31)-IF(D44="M",0,D44)))</f>
        <v>0</v>
      </c>
      <c r="E66" s="318">
        <f t="shared" ref="E66:S66" si="23">IF(AND(E48="0",E10="0",E12="0",E31="0",E44="0")=0,IF(AND(E48="L",E10="L",E12="L",E31="L",E44="L")="NC",IF(E48="M",0,E48)-IF(E10="M",0,E10)-IF(E12="M",0,E12)-IF(E31="M",0,E31)-IF(E44="M",0,E44)))</f>
        <v>0</v>
      </c>
      <c r="F66" s="318">
        <f t="shared" si="23"/>
        <v>0</v>
      </c>
      <c r="G66" s="318">
        <f t="shared" si="23"/>
        <v>0</v>
      </c>
      <c r="H66" s="318">
        <f t="shared" si="23"/>
        <v>-7.2759576141834259E-12</v>
      </c>
      <c r="I66" s="318">
        <f t="shared" si="23"/>
        <v>0</v>
      </c>
      <c r="J66" s="318">
        <f t="shared" si="23"/>
        <v>0</v>
      </c>
      <c r="K66" s="318">
        <f t="shared" si="23"/>
        <v>1.4551915228366852E-11</v>
      </c>
      <c r="L66" s="318">
        <f t="shared" si="23"/>
        <v>0</v>
      </c>
      <c r="M66" s="318">
        <f t="shared" si="23"/>
        <v>2.9103830456733704E-11</v>
      </c>
      <c r="N66" s="318">
        <f t="shared" si="23"/>
        <v>0</v>
      </c>
      <c r="O66" s="318">
        <f t="shared" si="23"/>
        <v>0</v>
      </c>
      <c r="P66" s="318">
        <f t="shared" si="23"/>
        <v>7.2759576141834259E-12</v>
      </c>
      <c r="Q66" s="318">
        <f t="shared" si="23"/>
        <v>0</v>
      </c>
      <c r="R66" s="318">
        <f t="shared" si="23"/>
        <v>3.637978807091713E-12</v>
      </c>
      <c r="S66" s="318">
        <f t="shared" si="23"/>
        <v>0</v>
      </c>
      <c r="T66" s="318">
        <f t="shared" ref="T66:V66" si="24">IF(AND(T48="0",T10="0",T12="0",T31="0",T44="0")=0,IF(AND(T48="L",T10="L",T12="L",T31="L",T44="L")="NC",IF(T48="M",0,T48)-IF(T10="M",0,T10)-IF(T12="M",0,T12)-IF(T31="M",0,T31)-IF(T44="M",0,T44)))</f>
        <v>0</v>
      </c>
      <c r="U66" s="318">
        <f t="shared" si="24"/>
        <v>1.1641532182693481E-10</v>
      </c>
      <c r="V66" s="318">
        <f t="shared" si="24"/>
        <v>2.9103830456733704E-11</v>
      </c>
      <c r="W66" s="318">
        <f t="shared" ref="W66:X66" si="25">IF(AND(W48="0",W10="0",W12="0",W31="0",W44="0")=0,IF(AND(W48="L",W10="L",W12="L",W31="L",W44="L")="NC",IF(W48="M",0,W48)-IF(W10="M",0,W10)-IF(W12="M",0,W12)-IF(W31="M",0,W31)-IF(W44="M",0,W44)))</f>
        <v>1.1641532182693481E-10</v>
      </c>
      <c r="X66" s="318">
        <f t="shared" si="25"/>
        <v>-1.4551915228366852E-11</v>
      </c>
      <c r="Y66" s="363"/>
      <c r="Z66" s="198"/>
      <c r="AA66" s="29"/>
    </row>
    <row r="67" spans="3:27" ht="15.75">
      <c r="C67" s="317" t="s">
        <v>520</v>
      </c>
      <c r="D67" s="318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318">
        <f t="shared" ref="E67:S67" si="26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318">
        <f t="shared" si="26"/>
        <v>0</v>
      </c>
      <c r="G67" s="318">
        <f t="shared" si="26"/>
        <v>0</v>
      </c>
      <c r="H67" s="318">
        <f t="shared" si="26"/>
        <v>0</v>
      </c>
      <c r="I67" s="318">
        <f t="shared" si="26"/>
        <v>-9.0949470177292824E-13</v>
      </c>
      <c r="J67" s="318">
        <f t="shared" si="26"/>
        <v>0</v>
      </c>
      <c r="K67" s="318">
        <f t="shared" si="26"/>
        <v>0</v>
      </c>
      <c r="L67" s="318">
        <f t="shared" si="26"/>
        <v>0</v>
      </c>
      <c r="M67" s="318">
        <f t="shared" si="26"/>
        <v>0</v>
      </c>
      <c r="N67" s="318">
        <f t="shared" si="26"/>
        <v>-7.2759576141834259E-12</v>
      </c>
      <c r="O67" s="318">
        <f t="shared" si="26"/>
        <v>0</v>
      </c>
      <c r="P67" s="318">
        <f t="shared" si="26"/>
        <v>0</v>
      </c>
      <c r="Q67" s="318">
        <f t="shared" si="26"/>
        <v>0</v>
      </c>
      <c r="R67" s="318">
        <f t="shared" si="26"/>
        <v>0</v>
      </c>
      <c r="S67" s="318">
        <f t="shared" si="26"/>
        <v>0</v>
      </c>
      <c r="T67" s="318">
        <f t="shared" ref="T67:V67" si="27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318">
        <f t="shared" si="27"/>
        <v>0</v>
      </c>
      <c r="V67" s="318">
        <f t="shared" si="27"/>
        <v>0</v>
      </c>
      <c r="W67" s="318">
        <f t="shared" ref="W67:X67" si="28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318">
        <f t="shared" si="28"/>
        <v>0</v>
      </c>
      <c r="Y67" s="363"/>
      <c r="Z67" s="198"/>
      <c r="AA67" s="29"/>
    </row>
    <row r="68" spans="3:27" ht="15.75">
      <c r="C68" s="365" t="s">
        <v>176</v>
      </c>
      <c r="D68" s="318">
        <f>IF(AND(D15="0",D18="0",D19="0"),0,IF(AND(D15="L",D18="L",D19="L"),"NC",IF(D15="M",0,D15)-IF(D18="M",0,D18)-IF(D19="M",0,D19)))</f>
        <v>0</v>
      </c>
      <c r="E68" s="318">
        <f t="shared" ref="E68:S68" si="29">IF(AND(E15="0",E18="0",E19="0"),0,IF(AND(E15="L",E18="L",E19="L"),"NC",IF(E15="M",0,E15)-IF(E18="M",0,E18)-IF(E19="M",0,E19)))</f>
        <v>0</v>
      </c>
      <c r="F68" s="318">
        <f t="shared" si="29"/>
        <v>0</v>
      </c>
      <c r="G68" s="318">
        <f t="shared" si="29"/>
        <v>0</v>
      </c>
      <c r="H68" s="318">
        <f t="shared" si="29"/>
        <v>0</v>
      </c>
      <c r="I68" s="318">
        <f t="shared" si="29"/>
        <v>0</v>
      </c>
      <c r="J68" s="318">
        <f t="shared" si="29"/>
        <v>0</v>
      </c>
      <c r="K68" s="318">
        <f t="shared" si="29"/>
        <v>0</v>
      </c>
      <c r="L68" s="318">
        <f t="shared" si="29"/>
        <v>0</v>
      </c>
      <c r="M68" s="318">
        <f t="shared" si="29"/>
        <v>0</v>
      </c>
      <c r="N68" s="318">
        <f t="shared" si="29"/>
        <v>0</v>
      </c>
      <c r="O68" s="318">
        <f t="shared" si="29"/>
        <v>0</v>
      </c>
      <c r="P68" s="318">
        <f t="shared" si="29"/>
        <v>0</v>
      </c>
      <c r="Q68" s="318">
        <f t="shared" si="29"/>
        <v>3.637978807091713E-12</v>
      </c>
      <c r="R68" s="318">
        <f t="shared" si="29"/>
        <v>5.8207660913467407E-11</v>
      </c>
      <c r="S68" s="318">
        <f t="shared" si="29"/>
        <v>0</v>
      </c>
      <c r="T68" s="318">
        <f t="shared" ref="T68:V68" si="30">IF(AND(T15="0",T18="0",T19="0"),0,IF(AND(T15="L",T18="L",T19="L"),"NC",IF(T15="M",0,T15)-IF(T18="M",0,T18)-IF(T19="M",0,T19)))</f>
        <v>0</v>
      </c>
      <c r="U68" s="318">
        <f t="shared" si="30"/>
        <v>0</v>
      </c>
      <c r="V68" s="318">
        <f t="shared" si="30"/>
        <v>0</v>
      </c>
      <c r="W68" s="318">
        <f t="shared" ref="W68:X68" si="31">IF(AND(W15="0",W18="0",W19="0"),0,IF(AND(W15="L",W18="L",W19="L"),"NC",IF(W15="M",0,W15)-IF(W18="M",0,W18)-IF(W19="M",0,W19)))</f>
        <v>0</v>
      </c>
      <c r="X68" s="318">
        <f t="shared" si="31"/>
        <v>0</v>
      </c>
      <c r="Y68" s="363"/>
      <c r="Z68" s="198"/>
      <c r="AA68" s="29"/>
    </row>
    <row r="69" spans="3:27" ht="15.75">
      <c r="C69" s="516" t="s">
        <v>177</v>
      </c>
      <c r="D69" s="318" t="str">
        <f>IF(AND(D16="",D17=""),0,IF(AND(D16="L",D17="L"),"NC",IF(D15="M",0,D15)-IF(D16="M",0,D16)-IF(D17="M",0,D17)))</f>
        <v>NC</v>
      </c>
      <c r="E69" s="318" t="str">
        <f t="shared" ref="E69:S69" si="32">IF(AND(E16="",E17=""),0,IF(AND(E16="L",E17="L"),"NC",IF(E15="M",0,E15)-IF(E16="M",0,E16)-IF(E17="M",0,E17)))</f>
        <v>NC</v>
      </c>
      <c r="F69" s="318" t="str">
        <f t="shared" si="32"/>
        <v>NC</v>
      </c>
      <c r="G69" s="318" t="str">
        <f t="shared" si="32"/>
        <v>NC</v>
      </c>
      <c r="H69" s="318" t="str">
        <f t="shared" si="32"/>
        <v>NC</v>
      </c>
      <c r="I69" s="318" t="str">
        <f t="shared" si="32"/>
        <v>NC</v>
      </c>
      <c r="J69" s="318" t="str">
        <f t="shared" si="32"/>
        <v>NC</v>
      </c>
      <c r="K69" s="318" t="str">
        <f t="shared" si="32"/>
        <v>NC</v>
      </c>
      <c r="L69" s="318" t="str">
        <f t="shared" si="32"/>
        <v>NC</v>
      </c>
      <c r="M69" s="318" t="str">
        <f t="shared" si="32"/>
        <v>NC</v>
      </c>
      <c r="N69" s="318" t="str">
        <f t="shared" si="32"/>
        <v>NC</v>
      </c>
      <c r="O69" s="318" t="str">
        <f t="shared" si="32"/>
        <v>NC</v>
      </c>
      <c r="P69" s="318" t="str">
        <f t="shared" si="32"/>
        <v>NC</v>
      </c>
      <c r="Q69" s="318" t="str">
        <f t="shared" si="32"/>
        <v>NC</v>
      </c>
      <c r="R69" s="318" t="str">
        <f t="shared" si="32"/>
        <v>NC</v>
      </c>
      <c r="S69" s="318" t="str">
        <f t="shared" si="32"/>
        <v>NC</v>
      </c>
      <c r="T69" s="318" t="str">
        <f t="shared" ref="T69:V69" si="33">IF(AND(T16="",T17=""),0,IF(AND(T16="L",T17="L"),"NC",IF(T15="M",0,T15)-IF(T16="M",0,T16)-IF(T17="M",0,T17)))</f>
        <v>NC</v>
      </c>
      <c r="U69" s="318" t="str">
        <f t="shared" si="33"/>
        <v>NC</v>
      </c>
      <c r="V69" s="318" t="str">
        <f t="shared" si="33"/>
        <v>NC</v>
      </c>
      <c r="W69" s="318" t="str">
        <f t="shared" ref="W69:X69" si="34">IF(AND(W16="",W17=""),0,IF(AND(W16="L",W17="L"),"NC",IF(W15="M",0,W15)-IF(W16="M",0,W16)-IF(W17="M",0,W17)))</f>
        <v>NC</v>
      </c>
      <c r="X69" s="318" t="str">
        <f t="shared" si="34"/>
        <v>NC</v>
      </c>
      <c r="Y69" s="363"/>
      <c r="Z69" s="198"/>
      <c r="AA69" s="29"/>
    </row>
    <row r="70" spans="3:27" ht="15.75">
      <c r="C70" s="516" t="s">
        <v>178</v>
      </c>
      <c r="D70" s="318" t="str">
        <f>IF(AND(D20="",D21=""),0,IF(AND(D20="L",D21="L"),"NC",IF(D19="M",0,D19)-IF(D20="M",0,D20)-IF(D21="M",0,D21)))</f>
        <v>NC</v>
      </c>
      <c r="E70" s="318" t="str">
        <f t="shared" ref="E70:S70" si="35">IF(AND(E20="",E21=""),0,IF(AND(E20="L",E21="L"),"NC",IF(E19="M",0,E19)-IF(E20="M",0,E20)-IF(E21="M",0,E21)))</f>
        <v>NC</v>
      </c>
      <c r="F70" s="318" t="str">
        <f t="shared" si="35"/>
        <v>NC</v>
      </c>
      <c r="G70" s="318" t="str">
        <f t="shared" si="35"/>
        <v>NC</v>
      </c>
      <c r="H70" s="318" t="str">
        <f t="shared" si="35"/>
        <v>NC</v>
      </c>
      <c r="I70" s="318" t="str">
        <f t="shared" si="35"/>
        <v>NC</v>
      </c>
      <c r="J70" s="318" t="str">
        <f t="shared" si="35"/>
        <v>NC</v>
      </c>
      <c r="K70" s="318" t="str">
        <f t="shared" si="35"/>
        <v>NC</v>
      </c>
      <c r="L70" s="318" t="str">
        <f t="shared" si="35"/>
        <v>NC</v>
      </c>
      <c r="M70" s="318" t="str">
        <f t="shared" si="35"/>
        <v>NC</v>
      </c>
      <c r="N70" s="318" t="str">
        <f t="shared" si="35"/>
        <v>NC</v>
      </c>
      <c r="O70" s="318" t="str">
        <f t="shared" si="35"/>
        <v>NC</v>
      </c>
      <c r="P70" s="318" t="str">
        <f t="shared" si="35"/>
        <v>NC</v>
      </c>
      <c r="Q70" s="318" t="str">
        <f t="shared" si="35"/>
        <v>NC</v>
      </c>
      <c r="R70" s="318" t="str">
        <f t="shared" si="35"/>
        <v>NC</v>
      </c>
      <c r="S70" s="318" t="str">
        <f t="shared" si="35"/>
        <v>NC</v>
      </c>
      <c r="T70" s="318" t="str">
        <f t="shared" ref="T70:V70" si="36">IF(AND(T20="",T21=""),0,IF(AND(T20="L",T21="L"),"NC",IF(T19="M",0,T19)-IF(T20="M",0,T20)-IF(T21="M",0,T21)))</f>
        <v>NC</v>
      </c>
      <c r="U70" s="318" t="str">
        <f t="shared" si="36"/>
        <v>NC</v>
      </c>
      <c r="V70" s="318" t="str">
        <f t="shared" si="36"/>
        <v>NC</v>
      </c>
      <c r="W70" s="318" t="str">
        <f t="shared" ref="W70:X70" si="37">IF(AND(W20="",W21=""),0,IF(AND(W20="L",W21="L"),"NC",IF(W19="M",0,W19)-IF(W20="M",0,W20)-IF(W21="M",0,W21)))</f>
        <v>NC</v>
      </c>
      <c r="X70" s="318" t="str">
        <f t="shared" si="37"/>
        <v>NC</v>
      </c>
      <c r="Y70" s="363"/>
      <c r="Z70" s="198"/>
      <c r="AA70" s="29"/>
    </row>
    <row r="71" spans="3:27" ht="15.75">
      <c r="C71" s="516" t="s">
        <v>179</v>
      </c>
      <c r="D71" s="318">
        <f>IF(AND(D22="0",D23="0",D24="0"),0,IF(AND(D22="L",D23="L",D24="L"),"NC",IF(D22="M",0,D22)-IF(D23="M",0,D23)-IF(D24="M",0,D24)))</f>
        <v>0</v>
      </c>
      <c r="E71" s="318">
        <f t="shared" ref="E71:S71" si="38">IF(AND(E22="0",E23="0",E24="0"),0,IF(AND(E22="L",E23="L",E24="L"),"NC",IF(E22="M",0,E22)-IF(E23="M",0,E23)-IF(E24="M",0,E24)))</f>
        <v>0</v>
      </c>
      <c r="F71" s="318">
        <f t="shared" si="38"/>
        <v>0</v>
      </c>
      <c r="G71" s="318">
        <f t="shared" si="38"/>
        <v>0</v>
      </c>
      <c r="H71" s="318">
        <f t="shared" si="38"/>
        <v>0</v>
      </c>
      <c r="I71" s="318">
        <f t="shared" si="38"/>
        <v>0</v>
      </c>
      <c r="J71" s="318">
        <f t="shared" si="38"/>
        <v>0</v>
      </c>
      <c r="K71" s="318">
        <f t="shared" si="38"/>
        <v>0</v>
      </c>
      <c r="L71" s="318">
        <f t="shared" si="38"/>
        <v>0</v>
      </c>
      <c r="M71" s="318">
        <f t="shared" si="38"/>
        <v>0</v>
      </c>
      <c r="N71" s="318">
        <f t="shared" si="38"/>
        <v>0</v>
      </c>
      <c r="O71" s="318">
        <f t="shared" si="38"/>
        <v>0</v>
      </c>
      <c r="P71" s="318">
        <f t="shared" si="38"/>
        <v>0</v>
      </c>
      <c r="Q71" s="318">
        <f t="shared" si="38"/>
        <v>0</v>
      </c>
      <c r="R71" s="318">
        <f t="shared" si="38"/>
        <v>0</v>
      </c>
      <c r="S71" s="318">
        <f t="shared" si="38"/>
        <v>0</v>
      </c>
      <c r="T71" s="318">
        <f t="shared" ref="T71:V71" si="39">IF(AND(T22="0",T23="0",T24="0"),0,IF(AND(T22="L",T23="L",T24="L"),"NC",IF(T22="M",0,T22)-IF(T23="M",0,T23)-IF(T24="M",0,T24)))</f>
        <v>0</v>
      </c>
      <c r="U71" s="318">
        <f t="shared" si="39"/>
        <v>0</v>
      </c>
      <c r="V71" s="318">
        <f t="shared" si="39"/>
        <v>0</v>
      </c>
      <c r="W71" s="318">
        <f t="shared" ref="W71:X71" si="40">IF(AND(W22="0",W23="0",W24="0"),0,IF(AND(W22="L",W23="L",W24="L"),"NC",IF(W22="M",0,W22)-IF(W23="M",0,W23)-IF(W24="M",0,W24)))</f>
        <v>0</v>
      </c>
      <c r="X71" s="318">
        <f t="shared" si="40"/>
        <v>0</v>
      </c>
      <c r="Y71" s="363"/>
      <c r="Z71" s="198"/>
      <c r="AA71" s="29"/>
    </row>
    <row r="72" spans="3:27" ht="15.75">
      <c r="C72" s="516" t="s">
        <v>180</v>
      </c>
      <c r="D72" s="318">
        <f>IF(AND(D25="",D26=""),0,IF(AND(D25="L",D26="L"),"NC",IF(D24="M",0,D24)-IF(D25="M",0,D25)-IF(D26="M",0,D26)))</f>
        <v>0</v>
      </c>
      <c r="E72" s="318">
        <f t="shared" ref="E72:S72" si="41">IF(AND(E25="",E26=""),0,IF(AND(E25="L",E26="L"),"NC",IF(E24="M",0,E24)-IF(E25="M",0,E25)-IF(E26="M",0,E26)))</f>
        <v>0</v>
      </c>
      <c r="F72" s="318">
        <f t="shared" si="41"/>
        <v>0</v>
      </c>
      <c r="G72" s="318">
        <f t="shared" si="41"/>
        <v>0</v>
      </c>
      <c r="H72" s="318">
        <f t="shared" si="41"/>
        <v>0</v>
      </c>
      <c r="I72" s="318">
        <f t="shared" si="41"/>
        <v>0</v>
      </c>
      <c r="J72" s="318">
        <f t="shared" si="41"/>
        <v>0</v>
      </c>
      <c r="K72" s="318">
        <f t="shared" si="41"/>
        <v>0</v>
      </c>
      <c r="L72" s="318">
        <f t="shared" si="41"/>
        <v>0</v>
      </c>
      <c r="M72" s="318">
        <f t="shared" si="41"/>
        <v>0</v>
      </c>
      <c r="N72" s="318">
        <f t="shared" si="41"/>
        <v>0</v>
      </c>
      <c r="O72" s="318">
        <f t="shared" si="41"/>
        <v>0</v>
      </c>
      <c r="P72" s="318">
        <f t="shared" si="41"/>
        <v>0</v>
      </c>
      <c r="Q72" s="318">
        <f t="shared" si="41"/>
        <v>0</v>
      </c>
      <c r="R72" s="318">
        <f t="shared" si="41"/>
        <v>0</v>
      </c>
      <c r="S72" s="318">
        <f t="shared" si="41"/>
        <v>0</v>
      </c>
      <c r="T72" s="318">
        <f t="shared" ref="T72:V72" si="42">IF(AND(T25="",T26=""),0,IF(AND(T25="L",T26="L"),"NC",IF(T24="M",0,T24)-IF(T25="M",0,T25)-IF(T26="M",0,T26)))</f>
        <v>-1.4551915228366852E-11</v>
      </c>
      <c r="U72" s="318">
        <f t="shared" si="42"/>
        <v>0</v>
      </c>
      <c r="V72" s="318">
        <f t="shared" si="42"/>
        <v>0</v>
      </c>
      <c r="W72" s="318">
        <f t="shared" ref="W72:X72" si="43">IF(AND(W25="",W26=""),0,IF(AND(W25="L",W26="L"),"NC",IF(W24="M",0,W24)-IF(W25="M",0,W25)-IF(W26="M",0,W26)))</f>
        <v>-1.4551915228366852E-11</v>
      </c>
      <c r="X72" s="318">
        <f t="shared" si="43"/>
        <v>0</v>
      </c>
      <c r="Y72" s="363"/>
      <c r="Z72" s="198"/>
      <c r="AA72" s="29"/>
    </row>
    <row r="73" spans="3:27" ht="23.25">
      <c r="C73" s="317" t="s">
        <v>530</v>
      </c>
      <c r="D73" s="318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318">
        <f t="shared" ref="E73:S73" si="44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318">
        <f t="shared" si="44"/>
        <v>0</v>
      </c>
      <c r="G73" s="318">
        <f t="shared" si="44"/>
        <v>0</v>
      </c>
      <c r="H73" s="318">
        <f t="shared" si="44"/>
        <v>1.4551915228366852E-11</v>
      </c>
      <c r="I73" s="318">
        <f t="shared" si="44"/>
        <v>0</v>
      </c>
      <c r="J73" s="318">
        <f t="shared" si="44"/>
        <v>0</v>
      </c>
      <c r="K73" s="318">
        <f t="shared" si="44"/>
        <v>-1.4097167877480388E-11</v>
      </c>
      <c r="L73" s="318">
        <f t="shared" si="44"/>
        <v>0</v>
      </c>
      <c r="M73" s="318">
        <f t="shared" si="44"/>
        <v>-2.9103830456733704E-11</v>
      </c>
      <c r="N73" s="318">
        <f t="shared" si="44"/>
        <v>0</v>
      </c>
      <c r="O73" s="318">
        <f t="shared" si="44"/>
        <v>7.2759576141834259E-12</v>
      </c>
      <c r="P73" s="318">
        <f t="shared" si="44"/>
        <v>-7.2759576141834259E-12</v>
      </c>
      <c r="Q73" s="318">
        <f t="shared" si="44"/>
        <v>0</v>
      </c>
      <c r="R73" s="318">
        <f t="shared" si="44"/>
        <v>0</v>
      </c>
      <c r="S73" s="318">
        <f t="shared" si="44"/>
        <v>0</v>
      </c>
      <c r="T73" s="318">
        <f t="shared" ref="T73:V73" si="45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318">
        <f t="shared" si="45"/>
        <v>-1.1641532182693481E-10</v>
      </c>
      <c r="V73" s="318">
        <f t="shared" si="45"/>
        <v>0</v>
      </c>
      <c r="W73" s="318">
        <f t="shared" ref="W73:X73" si="46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-1.1641532182693481E-10</v>
      </c>
      <c r="X73" s="318">
        <f t="shared" si="46"/>
        <v>1.4551915228366852E-11</v>
      </c>
      <c r="Y73" s="363"/>
      <c r="Z73" s="198"/>
      <c r="AA73" s="29"/>
    </row>
    <row r="74" spans="3:27" ht="15.75">
      <c r="C74" s="317" t="s">
        <v>181</v>
      </c>
      <c r="D74" s="318">
        <f>IF(AND(D44="0",D45="0",D46="0"),0,IF(AND(D44="L",D45="L",D46="L"),"NC",IF(D44="M",0,D44)-IF(D45="M",0,D45)-IF(D46="M",0,D46)))</f>
        <v>0</v>
      </c>
      <c r="E74" s="318">
        <f t="shared" ref="E74:S74" si="47">IF(AND(E44="0",E45="0",E46="0"),0,IF(AND(E44="L",E45="L",E46="L"),"NC",IF(E44="M",0,E44)-IF(E45="M",0,E45)-IF(E46="M",0,E46)))</f>
        <v>0</v>
      </c>
      <c r="F74" s="318">
        <f t="shared" si="47"/>
        <v>0</v>
      </c>
      <c r="G74" s="318">
        <f t="shared" si="47"/>
        <v>0</v>
      </c>
      <c r="H74" s="318">
        <f t="shared" si="47"/>
        <v>0</v>
      </c>
      <c r="I74" s="318">
        <f t="shared" si="47"/>
        <v>0</v>
      </c>
      <c r="J74" s="318">
        <f t="shared" si="47"/>
        <v>0</v>
      </c>
      <c r="K74" s="318">
        <f t="shared" si="47"/>
        <v>0</v>
      </c>
      <c r="L74" s="318">
        <f t="shared" si="47"/>
        <v>0</v>
      </c>
      <c r="M74" s="318">
        <f t="shared" si="47"/>
        <v>0</v>
      </c>
      <c r="N74" s="318">
        <f t="shared" si="47"/>
        <v>0</v>
      </c>
      <c r="O74" s="318">
        <f t="shared" si="47"/>
        <v>0</v>
      </c>
      <c r="P74" s="318">
        <f t="shared" si="47"/>
        <v>0</v>
      </c>
      <c r="Q74" s="318">
        <f t="shared" si="47"/>
        <v>0</v>
      </c>
      <c r="R74" s="318">
        <f t="shared" si="47"/>
        <v>0</v>
      </c>
      <c r="S74" s="318">
        <f t="shared" si="47"/>
        <v>0</v>
      </c>
      <c r="T74" s="318">
        <f t="shared" ref="T74:V74" si="48">IF(AND(T44="0",T45="0",T46="0"),0,IF(AND(T44="L",T45="L",T46="L"),"NC",IF(T44="M",0,T44)-IF(T45="M",0,T45)-IF(T46="M",0,T46)))</f>
        <v>0</v>
      </c>
      <c r="U74" s="318">
        <f t="shared" si="48"/>
        <v>0</v>
      </c>
      <c r="V74" s="318">
        <f t="shared" si="48"/>
        <v>0</v>
      </c>
      <c r="W74" s="318">
        <f t="shared" ref="W74:X74" si="49">IF(AND(W44="0",W45="0",W46="0"),0,IF(AND(W44="L",W45="L",W46="L"),"NC",IF(W44="M",0,W44)-IF(W45="M",0,W45)-IF(W46="M",0,W46)))</f>
        <v>0</v>
      </c>
      <c r="X74" s="318">
        <f t="shared" si="49"/>
        <v>0</v>
      </c>
      <c r="Y74" s="197"/>
      <c r="Z74" s="198"/>
    </row>
    <row r="75" spans="3:27" ht="15.75">
      <c r="C75" s="317" t="s">
        <v>141</v>
      </c>
      <c r="D75" s="318">
        <f>IF(AND(D51="0",D52="0",D53="0"),0,IF(AND(D51="L",D52="L",D53="L"),"NC",IF(D51="M",0,D51)-IF(D52="M",0,D52)+IF(D53="M",0,D53)))</f>
        <v>0</v>
      </c>
      <c r="E75" s="318">
        <f t="shared" ref="E75:S75" si="50">IF(AND(E51="0",E52="0",E53="0"),0,IF(AND(E51="L",E52="L",E53="L"),"NC",IF(E51="M",0,E51)-IF(E52="M",0,E52)+IF(E53="M",0,E53)))</f>
        <v>0</v>
      </c>
      <c r="F75" s="318">
        <f t="shared" si="50"/>
        <v>-1.4551915228366852E-11</v>
      </c>
      <c r="G75" s="318">
        <f t="shared" si="50"/>
        <v>0</v>
      </c>
      <c r="H75" s="318">
        <f t="shared" si="50"/>
        <v>1.4551915228366852E-11</v>
      </c>
      <c r="I75" s="318">
        <f t="shared" si="50"/>
        <v>2.9103830456733704E-11</v>
      </c>
      <c r="J75" s="318">
        <f t="shared" si="50"/>
        <v>0</v>
      </c>
      <c r="K75" s="318">
        <f t="shared" si="50"/>
        <v>0</v>
      </c>
      <c r="L75" s="318">
        <f t="shared" si="50"/>
        <v>-5.8207660913467407E-11</v>
      </c>
      <c r="M75" s="318">
        <f t="shared" si="50"/>
        <v>0</v>
      </c>
      <c r="N75" s="318">
        <f t="shared" si="50"/>
        <v>0</v>
      </c>
      <c r="O75" s="318">
        <f t="shared" si="50"/>
        <v>0</v>
      </c>
      <c r="P75" s="318">
        <f t="shared" si="50"/>
        <v>0</v>
      </c>
      <c r="Q75" s="318">
        <f t="shared" si="50"/>
        <v>0</v>
      </c>
      <c r="R75" s="318">
        <f t="shared" si="50"/>
        <v>0</v>
      </c>
      <c r="S75" s="318">
        <f t="shared" si="50"/>
        <v>0</v>
      </c>
      <c r="T75" s="318">
        <f t="shared" ref="T75:V75" si="51">IF(AND(T51="0",T52="0",T53="0"),0,IF(AND(T51="L",T52="L",T53="L"),"NC",IF(T51="M",0,T51)-IF(T52="M",0,T52)+IF(T53="M",0,T53)))</f>
        <v>0</v>
      </c>
      <c r="U75" s="318">
        <f t="shared" si="51"/>
        <v>0</v>
      </c>
      <c r="V75" s="318">
        <f t="shared" si="51"/>
        <v>0</v>
      </c>
      <c r="W75" s="318">
        <f t="shared" ref="W75:X75" si="52">IF(AND(W51="0",W52="0",W53="0"),0,IF(AND(W51="L",W52="L",W53="L"),"NC",IF(W51="M",0,W51)-IF(W52="M",0,W52)+IF(W53="M",0,W53)))</f>
        <v>0</v>
      </c>
      <c r="X75" s="318">
        <f t="shared" si="52"/>
        <v>0</v>
      </c>
      <c r="Y75" s="197"/>
      <c r="Z75" s="198"/>
    </row>
    <row r="76" spans="3:27" ht="15.75">
      <c r="C76" s="319" t="s">
        <v>127</v>
      </c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197"/>
      <c r="Z76" s="198"/>
    </row>
    <row r="77" spans="3:27" ht="15.75">
      <c r="C77" s="320" t="s">
        <v>182</v>
      </c>
      <c r="D77" s="203">
        <f>IF(AND('Table 1'!E11="0",D10="0"),0,IF(AND('Table 1'!E11="L",D10="L"),"NC",IF('Table 1'!E11="M",0,'Table 1'!E11)+IF(D10="M",0,D10)))</f>
        <v>0</v>
      </c>
      <c r="E77" s="203">
        <f>IF(AND('Table 1'!F11="0",E10="0"),0,IF(AND('Table 1'!F11="L",E10="L"),"NC",IF('Table 1'!F11="M",0,'Table 1'!F11)+IF(E10="M",0,E10)))</f>
        <v>0</v>
      </c>
      <c r="F77" s="203">
        <f>IF(AND('Table 1'!G11="0",F10="0"),0,IF(AND('Table 1'!G11="L",F10="L"),"NC",IF('Table 1'!G11="M",0,'Table 1'!G11)+IF(F10="M",0,F10)))</f>
        <v>0</v>
      </c>
      <c r="G77" s="203">
        <f>IF(AND('Table 1'!H11="0",G10="0"),0,IF(AND('Table 1'!H11="L",G10="L"),"NC",IF('Table 1'!H11="M",0,'Table 1'!H11)+IF(G10="M",0,G10)))</f>
        <v>0</v>
      </c>
      <c r="H77" s="203">
        <f>IF(AND('Table 1'!I11="0",H10="0"),0,IF(AND('Table 1'!I11="L",H10="L"),"NC",IF('Table 1'!I11="M",0,'Table 1'!I11)+IF(H10="M",0,H10)))</f>
        <v>0</v>
      </c>
      <c r="I77" s="203">
        <f>IF(AND('Table 1'!J11="0",I10="0"),0,IF(AND('Table 1'!J11="L",I10="L"),"NC",IF('Table 1'!J11="M",0,'Table 1'!J11)+IF(I10="M",0,I10)))</f>
        <v>0</v>
      </c>
      <c r="J77" s="203">
        <f>IF(AND('Table 1'!K11="0",J10="0"),0,IF(AND('Table 1'!K11="L",J10="L"),"NC",IF('Table 1'!K11="M",0,'Table 1'!K11)+IF(J10="M",0,J10)))</f>
        <v>0</v>
      </c>
      <c r="K77" s="203">
        <f>IF(AND('Table 1'!L11="0",K10="0"),0,IF(AND('Table 1'!L11="L",K10="L"),"NC",IF('Table 1'!L11="M",0,'Table 1'!L11)+IF(K10="M",0,K10)))</f>
        <v>0</v>
      </c>
      <c r="L77" s="203">
        <f>IF(AND('Table 1'!M11="0",L10="0"),0,IF(AND('Table 1'!M11="L",L10="L"),"NC",IF('Table 1'!M11="M",0,'Table 1'!M11)+IF(L10="M",0,L10)))</f>
        <v>0</v>
      </c>
      <c r="M77" s="203">
        <f>IF(AND('Table 1'!N11="0",M10="0"),0,IF(AND('Table 1'!N11="L",M10="L"),"NC",IF('Table 1'!N11="M",0,'Table 1'!N11)+IF(M10="M",0,M10)))</f>
        <v>0</v>
      </c>
      <c r="N77" s="203">
        <f>IF(AND('Table 1'!O11="0",N10="0"),0,IF(AND('Table 1'!O11="L",N10="L"),"NC",IF('Table 1'!O11="M",0,'Table 1'!O11)+IF(N10="M",0,N10)))</f>
        <v>0</v>
      </c>
      <c r="O77" s="203">
        <f>IF(AND('Table 1'!P11="0",O10="0"),0,IF(AND('Table 1'!P11="L",O10="L"),"NC",IF('Table 1'!P11="M",0,'Table 1'!P11)+IF(O10="M",0,O10)))</f>
        <v>0</v>
      </c>
      <c r="P77" s="203">
        <f>IF(AND('Table 1'!Q11="0",P10="0"),0,IF(AND('Table 1'!Q11="L",P10="L"),"NC",IF('Table 1'!Q11="M",0,'Table 1'!Q11)+IF(P10="M",0,P10)))</f>
        <v>0</v>
      </c>
      <c r="Q77" s="203">
        <f>IF(AND('Table 1'!R11="0",Q10="0"),0,IF(AND('Table 1'!R11="L",Q10="L"),"NC",IF('Table 1'!R11="M",0,'Table 1'!R11)+IF(Q10="M",0,Q10)))</f>
        <v>0</v>
      </c>
      <c r="R77" s="203">
        <f>IF(AND('Table 1'!S11="0",R10="0"),0,IF(AND('Table 1'!S11="L",R10="L"),"NC",IF('Table 1'!S11="M",0,'Table 1'!S11)+IF(R10="M",0,R10)))</f>
        <v>0</v>
      </c>
      <c r="S77" s="203">
        <f>IF(AND('Table 1'!T11="0",S10="0"),0,IF(AND('Table 1'!T11="L",S10="L"),"NC",IF('Table 1'!T11="M",0,'Table 1'!T11)+IF(S10="M",0,S10)))</f>
        <v>0</v>
      </c>
      <c r="T77" s="203">
        <f>IF(AND('Table 1'!U11="0",T10="0"),0,IF(AND('Table 1'!U11="L",T10="L"),"NC",IF('Table 1'!U11="M",0,'Table 1'!U11)+IF(T10="M",0,T10)))</f>
        <v>0</v>
      </c>
      <c r="U77" s="203">
        <f>IF(AND('Table 1'!V11="0",U10="0"),0,IF(AND('Table 1'!V11="L",U10="L"),"NC",IF('Table 1'!V11="M",0,'Table 1'!V11)+IF(U10="M",0,U10)))</f>
        <v>0</v>
      </c>
      <c r="V77" s="203">
        <f>IF(AND('Table 1'!W11="0",V10="0"),0,IF(AND('Table 1'!W11="L",V10="L"),"NC",IF('Table 1'!W11="M",0,'Table 1'!W11)+IF(V10="M",0,V10)))</f>
        <v>0</v>
      </c>
      <c r="W77" s="203">
        <f>IF(AND('Table 1'!X11="0",W10="0"),0,IF(AND('Table 1'!X11="L",W10="L"),"NC",IF('Table 1'!X11="M",0,'Table 1'!X11)+IF(W10="M",0,W10)))</f>
        <v>0</v>
      </c>
      <c r="X77" s="203">
        <f>IF(AND('Table 1'!Y11="0",X10="0"),0,IF(AND('Table 1'!Y11="L",X10="L"),"NC",IF('Table 1'!Y11="M",0,'Table 1'!Y11)+IF(X10="M",0,X10)))</f>
        <v>0</v>
      </c>
      <c r="Y77" s="321"/>
      <c r="Z77" s="322"/>
    </row>
  </sheetData>
  <sheetProtection algorithmName="SHA-512" hashValue="1wf3gLMvRFSiaTDKbAiFBZyiaMZMIiDiJDeoIafaC+AEFRY351N0na8JhCqcBZ2LYQlwbrPUfC2fPeVXaALMLw==" saltValue="kxXz4TbsFYAgqTRcZGGrrg==" spinCount="100000" sheet="1" objects="1" formatColumns="0" formatRows="0" insertHyperlinks="0"/>
  <mergeCells count="2">
    <mergeCell ref="D6:X6"/>
    <mergeCell ref="D64:X64"/>
  </mergeCells>
  <phoneticPr fontId="35" type="noConversion"/>
  <conditionalFormatting sqref="D10:X10 D13:X29 D32:X34 D36:X38 D40:X42 D44:X46 D51:X53 D48:X48">
    <cfRule type="cellIs" dxfId="9" priority="3" operator="equal">
      <formula>""</formula>
    </cfRule>
  </conditionalFormatting>
  <conditionalFormatting sqref="D64">
    <cfRule type="expression" dxfId="8" priority="176" stopIfTrue="1">
      <formula>COUNTA(D10:V10,D12:V29,D31:V34,D36:V38,D40:V42,D44:V46,D48:V48,D51:V53)/684*100&lt;&gt;100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64</vt:i4>
      </vt:variant>
    </vt:vector>
  </HeadingPairs>
  <TitlesOfParts>
    <vt:vector size="77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Tóthné Perlaky Mária</cp:lastModifiedBy>
  <cp:lastPrinted>2016-02-10T22:26:28Z</cp:lastPrinted>
  <dcterms:created xsi:type="dcterms:W3CDTF">1997-11-05T15:09:39Z</dcterms:created>
  <dcterms:modified xsi:type="dcterms:W3CDTF">2020-04-22T13:51:29Z</dcterms:modified>
</cp:coreProperties>
</file>